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joaof\Desktop\Prefeitura de Arapiraca\Dren. e Pav. 03129934\PARA LICITAÇÃO\ATUALIZADO\"/>
    </mc:Choice>
  </mc:AlternateContent>
  <xr:revisionPtr revIDLastSave="0" documentId="13_ncr:1_{3F02D7E2-ECE3-4A3E-8886-ED9BA0862E72}" xr6:coauthVersionLast="47" xr6:coauthVersionMax="47" xr10:uidLastSave="{00000000-0000-0000-0000-000000000000}"/>
  <bookViews>
    <workbookView xWindow="-120" yWindow="-120" windowWidth="20730" windowHeight="11160" tabRatio="831" activeTab="5" xr2:uid="{00000000-000D-0000-FFFF-FFFF00000000}"/>
  </bookViews>
  <sheets>
    <sheet name="ORÇAMENTO GLOBAL" sheetId="13" r:id="rId1"/>
    <sheet name="ORÇAMENTO POR RUA (2)" sheetId="21" state="hidden" r:id="rId2"/>
    <sheet name="ORÇAMENTO POR RUA" sheetId="7" r:id="rId3"/>
    <sheet name="CRONOGRAMA FÍSICO-FINANCEIRO" sheetId="10" r:id="rId4"/>
    <sheet name="CURVA ABC" sheetId="26" r:id="rId5"/>
    <sheet name="MC" sheetId="3" r:id="rId6"/>
    <sheet name="COMPOSIÇÕES" sheetId="2" r:id="rId7"/>
    <sheet name="MAPA DE CUBAÇÃO" sheetId="8" r:id="rId8"/>
    <sheet name="DRENAGEM" sheetId="9" r:id="rId9"/>
    <sheet name="BDI SERVIÇO" sheetId="14" r:id="rId10"/>
    <sheet name="BDI MATERIAL" sheetId="25" r:id="rId11"/>
  </sheets>
  <externalReferences>
    <externalReference r:id="rId12"/>
  </externalReferences>
  <definedNames>
    <definedName name="_xlnm._FilterDatabase" localSheetId="5" hidden="1">MC!$A$11:$N$63</definedName>
    <definedName name="_xlnm._FilterDatabase" localSheetId="0" hidden="1">'ORÇAMENTO GLOBAL'!$A$9:$J$94</definedName>
    <definedName name="_xlnm._FilterDatabase" localSheetId="2" hidden="1">'ORÇAMENTO POR RUA'!$A$9:$J$368</definedName>
    <definedName name="_xlnm._FilterDatabase" localSheetId="1" hidden="1">'ORÇAMENTO POR RUA (2)'!$A$8:$J$250</definedName>
    <definedName name="_xlnm.Print_Area" localSheetId="9">'BDI SERVIÇO'!$A$1:$E$51</definedName>
    <definedName name="_xlnm.Print_Area" localSheetId="6">COMPOSIÇÕES!$A$1:$J$92</definedName>
    <definedName name="_xlnm.Print_Area" localSheetId="8">DRENAGEM!$A$1:$AC$60</definedName>
    <definedName name="_xlnm.Print_Area" localSheetId="7">'MAPA DE CUBAÇÃO'!$A$1:$L$318</definedName>
    <definedName name="_xlnm.Print_Area" localSheetId="0">'ORÇAMENTO GLOBAL'!$A$1:$J$65</definedName>
    <definedName name="_xlnm.Print_Area" localSheetId="2">'ORÇAMENTO POR RUA'!$A$1:$J$378</definedName>
    <definedName name="_xlnm.Print_Area" localSheetId="1">'ORÇAMENTO POR RUA (2)'!$A$1:$J$252</definedName>
    <definedName name="SIMOUNAO">'[1]BDI (1)'!$U$2:$U$3</definedName>
    <definedName name="_xlnm.Print_Titles" localSheetId="7">'MAPA DE CUBAÇÃO'!$1:$12</definedName>
    <definedName name="_xlnm.Print_Titles" localSheetId="5">MC!$1:$12</definedName>
    <definedName name="_xlnm.Print_Titles" localSheetId="0">'ORÇAMENTO GLOBAL'!$1:$9</definedName>
    <definedName name="_xlnm.Print_Titles" localSheetId="2">'ORÇAMENTO POR RUA'!$1:$9</definedName>
    <definedName name="_xlnm.Print_Titles" localSheetId="1">'ORÇAMENTO POR RUA (2)'!$1:$8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8" i="26" l="1"/>
  <c r="K35" i="10"/>
  <c r="C30" i="10"/>
  <c r="K30" i="10" s="1"/>
  <c r="C24" i="10"/>
  <c r="C21" i="10"/>
  <c r="C18" i="10"/>
  <c r="C15" i="10"/>
  <c r="C12" i="10"/>
  <c r="J43" i="26"/>
  <c r="J42" i="26"/>
  <c r="J12" i="26"/>
  <c r="J19" i="26"/>
  <c r="J17" i="26"/>
  <c r="J36" i="26"/>
  <c r="J20" i="26"/>
  <c r="J35" i="26"/>
  <c r="J41" i="26"/>
  <c r="J18" i="26"/>
  <c r="J16" i="26"/>
  <c r="J33" i="26"/>
  <c r="J14" i="26"/>
  <c r="J31" i="26"/>
  <c r="J26" i="26"/>
  <c r="J39" i="26"/>
  <c r="J11" i="26"/>
  <c r="J21" i="26"/>
  <c r="J38" i="26"/>
  <c r="J22" i="26"/>
  <c r="J24" i="26"/>
  <c r="J29" i="26"/>
  <c r="D34" i="26"/>
  <c r="D25" i="26"/>
  <c r="B25" i="26"/>
  <c r="D23" i="26"/>
  <c r="B23" i="26"/>
  <c r="J30" i="26"/>
  <c r="J37" i="26"/>
  <c r="J27" i="26"/>
  <c r="J28" i="26"/>
  <c r="J32" i="26"/>
  <c r="J13" i="26"/>
  <c r="J58" i="13"/>
  <c r="J371" i="7"/>
  <c r="J372" i="7"/>
  <c r="J368" i="7"/>
  <c r="N797" i="3"/>
  <c r="N791" i="3"/>
  <c r="N753" i="3"/>
  <c r="N750" i="3"/>
  <c r="N736" i="3"/>
  <c r="N727" i="3"/>
  <c r="N686" i="3"/>
  <c r="N683" i="3"/>
  <c r="N663" i="3"/>
  <c r="N660" i="3"/>
  <c r="N643" i="3"/>
  <c r="N599" i="3"/>
  <c r="N596" i="3"/>
  <c r="N582" i="3"/>
  <c r="N576" i="3"/>
  <c r="N538" i="3"/>
  <c r="N535" i="3"/>
  <c r="N517" i="3"/>
  <c r="N511" i="3"/>
  <c r="N472" i="3"/>
  <c r="N469" i="3"/>
  <c r="N457" i="3"/>
  <c r="N440" i="3"/>
  <c r="N437" i="3"/>
  <c r="N419" i="3"/>
  <c r="N413" i="3"/>
  <c r="N375" i="3"/>
  <c r="N372" i="3"/>
  <c r="N351" i="3"/>
  <c r="N348" i="3"/>
  <c r="N328" i="3"/>
  <c r="N325" i="3"/>
  <c r="N308" i="3"/>
  <c r="N302" i="3"/>
  <c r="N264" i="3"/>
  <c r="N261" i="3"/>
  <c r="N240" i="3"/>
  <c r="N237" i="3"/>
  <c r="N216" i="3"/>
  <c r="N213" i="3"/>
  <c r="N199" i="3"/>
  <c r="N195" i="3"/>
  <c r="N193" i="3"/>
  <c r="N155" i="3"/>
  <c r="N152" i="3"/>
  <c r="N132" i="3"/>
  <c r="N129" i="3"/>
  <c r="N109" i="3"/>
  <c r="N106" i="3"/>
  <c r="N85" i="3"/>
  <c r="N82" i="3"/>
  <c r="N62" i="3"/>
  <c r="N59" i="3"/>
  <c r="N50" i="3"/>
  <c r="N47" i="3"/>
  <c r="N38" i="3"/>
  <c r="N22" i="3"/>
  <c r="N19" i="3"/>
  <c r="H41" i="13"/>
  <c r="I41" i="13"/>
  <c r="H42" i="13"/>
  <c r="I42" i="13" s="1"/>
  <c r="H43" i="13"/>
  <c r="I43" i="13"/>
  <c r="H44" i="13"/>
  <c r="I44" i="13" s="1"/>
  <c r="H45" i="13"/>
  <c r="I45" i="13"/>
  <c r="J45" i="13" s="1"/>
  <c r="H46" i="13"/>
  <c r="I46" i="13" s="1"/>
  <c r="H47" i="13"/>
  <c r="I47" i="13"/>
  <c r="H48" i="13"/>
  <c r="I48" i="13" s="1"/>
  <c r="H49" i="13"/>
  <c r="I49" i="13"/>
  <c r="H50" i="13"/>
  <c r="I50" i="13" s="1"/>
  <c r="H51" i="13"/>
  <c r="I51" i="13"/>
  <c r="H52" i="13"/>
  <c r="I52" i="13" s="1"/>
  <c r="H53" i="13"/>
  <c r="I53" i="13"/>
  <c r="J53" i="13" s="1"/>
  <c r="H54" i="13"/>
  <c r="I54" i="13" s="1"/>
  <c r="H40" i="13"/>
  <c r="I40" i="13" s="1"/>
  <c r="H35" i="13"/>
  <c r="I35" i="13" s="1"/>
  <c r="H36" i="13"/>
  <c r="I36" i="13" s="1"/>
  <c r="H37" i="13"/>
  <c r="I37" i="13"/>
  <c r="I34" i="13"/>
  <c r="H34" i="13"/>
  <c r="H31" i="13"/>
  <c r="I31" i="13" s="1"/>
  <c r="H30" i="13"/>
  <c r="I30" i="13" s="1"/>
  <c r="I29" i="13"/>
  <c r="H29" i="13"/>
  <c r="H25" i="13"/>
  <c r="I25" i="13"/>
  <c r="H26" i="13"/>
  <c r="I26" i="13"/>
  <c r="H19" i="13"/>
  <c r="I19" i="13" s="1"/>
  <c r="J19" i="13" s="1"/>
  <c r="J18" i="13"/>
  <c r="I18" i="13"/>
  <c r="H18" i="13"/>
  <c r="H17" i="13"/>
  <c r="I17" i="13" s="1"/>
  <c r="J17" i="13" s="1"/>
  <c r="H16" i="13"/>
  <c r="I16" i="13" s="1"/>
  <c r="J16" i="13" s="1"/>
  <c r="H15" i="13"/>
  <c r="I15" i="13" s="1"/>
  <c r="H14" i="13"/>
  <c r="I14" i="13" s="1"/>
  <c r="J11" i="13"/>
  <c r="I11" i="13"/>
  <c r="H11" i="13"/>
  <c r="I332" i="7"/>
  <c r="I334" i="7"/>
  <c r="H358" i="7"/>
  <c r="I358" i="7" s="1"/>
  <c r="J358" i="7" s="1"/>
  <c r="H359" i="7"/>
  <c r="I359" i="7" s="1"/>
  <c r="J359" i="7" s="1"/>
  <c r="H360" i="7"/>
  <c r="I360" i="7"/>
  <c r="J360" i="7" s="1"/>
  <c r="H361" i="7"/>
  <c r="I361" i="7"/>
  <c r="J361" i="7"/>
  <c r="H362" i="7"/>
  <c r="I362" i="7" s="1"/>
  <c r="J362" i="7" s="1"/>
  <c r="H363" i="7"/>
  <c r="I363" i="7" s="1"/>
  <c r="J363" i="7" s="1"/>
  <c r="H364" i="7"/>
  <c r="I364" i="7" s="1"/>
  <c r="H365" i="7"/>
  <c r="I365" i="7" s="1"/>
  <c r="J365" i="7" s="1"/>
  <c r="H366" i="7"/>
  <c r="I366" i="7" s="1"/>
  <c r="H367" i="7"/>
  <c r="I367" i="7" s="1"/>
  <c r="J367" i="7" s="1"/>
  <c r="H368" i="7"/>
  <c r="I368" i="7"/>
  <c r="H357" i="7"/>
  <c r="I357" i="7" s="1"/>
  <c r="J357" i="7" s="1"/>
  <c r="H352" i="7"/>
  <c r="I352" i="7" s="1"/>
  <c r="H353" i="7"/>
  <c r="I353" i="7" s="1"/>
  <c r="J353" i="7" s="1"/>
  <c r="H354" i="7"/>
  <c r="I354" i="7"/>
  <c r="J354" i="7" s="1"/>
  <c r="H351" i="7"/>
  <c r="I351" i="7" s="1"/>
  <c r="H347" i="7"/>
  <c r="I347" i="7" s="1"/>
  <c r="H348" i="7"/>
  <c r="I348" i="7" s="1"/>
  <c r="H346" i="7"/>
  <c r="I346" i="7" s="1"/>
  <c r="H330" i="7"/>
  <c r="I330" i="7"/>
  <c r="J330" i="7"/>
  <c r="H331" i="7"/>
  <c r="I331" i="7" s="1"/>
  <c r="J331" i="7" s="1"/>
  <c r="H332" i="7"/>
  <c r="J332" i="7"/>
  <c r="H333" i="7"/>
  <c r="I333" i="7"/>
  <c r="J333" i="7"/>
  <c r="H334" i="7"/>
  <c r="J334" i="7"/>
  <c r="H335" i="7"/>
  <c r="I335" i="7" s="1"/>
  <c r="J335" i="7" s="1"/>
  <c r="H336" i="7"/>
  <c r="I336" i="7"/>
  <c r="J336" i="7" s="1"/>
  <c r="H337" i="7"/>
  <c r="I337" i="7"/>
  <c r="H338" i="7"/>
  <c r="I338" i="7"/>
  <c r="J338" i="7"/>
  <c r="H339" i="7"/>
  <c r="I339" i="7" s="1"/>
  <c r="J339" i="7" s="1"/>
  <c r="H340" i="7"/>
  <c r="I340" i="7"/>
  <c r="H341" i="7"/>
  <c r="I341" i="7"/>
  <c r="J341" i="7"/>
  <c r="H342" i="7"/>
  <c r="I342" i="7"/>
  <c r="J342" i="7"/>
  <c r="H329" i="7"/>
  <c r="I329" i="7" s="1"/>
  <c r="J329" i="7" s="1"/>
  <c r="H324" i="7"/>
  <c r="I324" i="7" s="1"/>
  <c r="J324" i="7" s="1"/>
  <c r="H325" i="7"/>
  <c r="I325" i="7" s="1"/>
  <c r="J325" i="7" s="1"/>
  <c r="H326" i="7"/>
  <c r="I326" i="7"/>
  <c r="J326" i="7" s="1"/>
  <c r="H323" i="7"/>
  <c r="I323" i="7" s="1"/>
  <c r="J323" i="7" s="1"/>
  <c r="H319" i="7"/>
  <c r="I319" i="7"/>
  <c r="H320" i="7"/>
  <c r="I320" i="7" s="1"/>
  <c r="H318" i="7"/>
  <c r="I318" i="7" s="1"/>
  <c r="J318" i="7" s="1"/>
  <c r="H312" i="7"/>
  <c r="I312" i="7" s="1"/>
  <c r="J312" i="7" s="1"/>
  <c r="H313" i="7"/>
  <c r="I313" i="7" s="1"/>
  <c r="J313" i="7" s="1"/>
  <c r="H314" i="7"/>
  <c r="I314" i="7"/>
  <c r="J314" i="7" s="1"/>
  <c r="H311" i="7"/>
  <c r="I311" i="7" s="1"/>
  <c r="J311" i="7" s="1"/>
  <c r="H307" i="7"/>
  <c r="I307" i="7"/>
  <c r="H308" i="7"/>
  <c r="I308" i="7" s="1"/>
  <c r="H306" i="7"/>
  <c r="I306" i="7" s="1"/>
  <c r="J306" i="7" s="1"/>
  <c r="H291" i="7"/>
  <c r="I291" i="7"/>
  <c r="J291" i="7" s="1"/>
  <c r="H292" i="7"/>
  <c r="I292" i="7" s="1"/>
  <c r="J292" i="7" s="1"/>
  <c r="H293" i="7"/>
  <c r="I293" i="7"/>
  <c r="J293" i="7" s="1"/>
  <c r="H294" i="7"/>
  <c r="I294" i="7" s="1"/>
  <c r="J294" i="7" s="1"/>
  <c r="H295" i="7"/>
  <c r="I295" i="7"/>
  <c r="J295" i="7" s="1"/>
  <c r="H296" i="7"/>
  <c r="I296" i="7" s="1"/>
  <c r="J296" i="7" s="1"/>
  <c r="H297" i="7"/>
  <c r="I297" i="7"/>
  <c r="J297" i="7" s="1"/>
  <c r="H298" i="7"/>
  <c r="I298" i="7" s="1"/>
  <c r="J298" i="7" s="1"/>
  <c r="H299" i="7"/>
  <c r="I299" i="7"/>
  <c r="H300" i="7"/>
  <c r="I300" i="7" s="1"/>
  <c r="J300" i="7" s="1"/>
  <c r="H301" i="7"/>
  <c r="I301" i="7"/>
  <c r="J301" i="7" s="1"/>
  <c r="H302" i="7"/>
  <c r="I302" i="7" s="1"/>
  <c r="J302" i="7" s="1"/>
  <c r="H290" i="7"/>
  <c r="I290" i="7" s="1"/>
  <c r="J290" i="7" s="1"/>
  <c r="H285" i="7"/>
  <c r="I285" i="7" s="1"/>
  <c r="J285" i="7" s="1"/>
  <c r="H286" i="7"/>
  <c r="I286" i="7" s="1"/>
  <c r="J286" i="7" s="1"/>
  <c r="H287" i="7"/>
  <c r="I287" i="7"/>
  <c r="J287" i="7" s="1"/>
  <c r="H284" i="7"/>
  <c r="I284" i="7" s="1"/>
  <c r="J284" i="7" s="1"/>
  <c r="H280" i="7"/>
  <c r="I280" i="7" s="1"/>
  <c r="H281" i="7"/>
  <c r="I281" i="7" s="1"/>
  <c r="H279" i="7"/>
  <c r="I279" i="7" s="1"/>
  <c r="J279" i="7" s="1"/>
  <c r="H265" i="7"/>
  <c r="I265" i="7" s="1"/>
  <c r="J265" i="7" s="1"/>
  <c r="H266" i="7"/>
  <c r="I266" i="7" s="1"/>
  <c r="J266" i="7" s="1"/>
  <c r="H267" i="7"/>
  <c r="I267" i="7"/>
  <c r="J267" i="7" s="1"/>
  <c r="H268" i="7"/>
  <c r="I268" i="7" s="1"/>
  <c r="J268" i="7" s="1"/>
  <c r="H269" i="7"/>
  <c r="I269" i="7"/>
  <c r="J269" i="7" s="1"/>
  <c r="H270" i="7"/>
  <c r="I270" i="7" s="1"/>
  <c r="J270" i="7" s="1"/>
  <c r="H271" i="7"/>
  <c r="I271" i="7"/>
  <c r="H272" i="7"/>
  <c r="I272" i="7" s="1"/>
  <c r="J272" i="7" s="1"/>
  <c r="H273" i="7"/>
  <c r="I273" i="7"/>
  <c r="H274" i="7"/>
  <c r="I274" i="7" s="1"/>
  <c r="J274" i="7" s="1"/>
  <c r="H275" i="7"/>
  <c r="I275" i="7"/>
  <c r="J275" i="7" s="1"/>
  <c r="I264" i="7"/>
  <c r="J264" i="7" s="1"/>
  <c r="H264" i="7"/>
  <c r="H259" i="7"/>
  <c r="I259" i="7" s="1"/>
  <c r="J259" i="7" s="1"/>
  <c r="H260" i="7"/>
  <c r="I260" i="7" s="1"/>
  <c r="J260" i="7" s="1"/>
  <c r="H261" i="7"/>
  <c r="I261" i="7"/>
  <c r="J261" i="7" s="1"/>
  <c r="H258" i="7"/>
  <c r="I258" i="7" s="1"/>
  <c r="J258" i="7" s="1"/>
  <c r="H254" i="7"/>
  <c r="I254" i="7" s="1"/>
  <c r="H255" i="7"/>
  <c r="I255" i="7" s="1"/>
  <c r="H253" i="7"/>
  <c r="I253" i="7" s="1"/>
  <c r="J253" i="7" s="1"/>
  <c r="H237" i="7"/>
  <c r="I237" i="7" s="1"/>
  <c r="J237" i="7" s="1"/>
  <c r="H238" i="7"/>
  <c r="I238" i="7" s="1"/>
  <c r="J238" i="7" s="1"/>
  <c r="H239" i="7"/>
  <c r="I239" i="7"/>
  <c r="J239" i="7" s="1"/>
  <c r="H240" i="7"/>
  <c r="I240" i="7" s="1"/>
  <c r="J240" i="7" s="1"/>
  <c r="H241" i="7"/>
  <c r="I241" i="7"/>
  <c r="J241" i="7" s="1"/>
  <c r="H242" i="7"/>
  <c r="I242" i="7" s="1"/>
  <c r="J242" i="7" s="1"/>
  <c r="H243" i="7"/>
  <c r="I243" i="7"/>
  <c r="H244" i="7"/>
  <c r="I244" i="7" s="1"/>
  <c r="J244" i="7" s="1"/>
  <c r="H245" i="7"/>
  <c r="I245" i="7"/>
  <c r="H246" i="7"/>
  <c r="I246" i="7" s="1"/>
  <c r="J246" i="7" s="1"/>
  <c r="H247" i="7"/>
  <c r="I247" i="7"/>
  <c r="J247" i="7" s="1"/>
  <c r="H248" i="7"/>
  <c r="I248" i="7" s="1"/>
  <c r="J248" i="7" s="1"/>
  <c r="H236" i="7"/>
  <c r="I236" i="7" s="1"/>
  <c r="J236" i="7" s="1"/>
  <c r="H231" i="7"/>
  <c r="I231" i="7" s="1"/>
  <c r="J231" i="7" s="1"/>
  <c r="H232" i="7"/>
  <c r="I232" i="7" s="1"/>
  <c r="J232" i="7" s="1"/>
  <c r="H233" i="7"/>
  <c r="I233" i="7"/>
  <c r="J233" i="7" s="1"/>
  <c r="H230" i="7"/>
  <c r="I230" i="7" s="1"/>
  <c r="J230" i="7" s="1"/>
  <c r="H226" i="7"/>
  <c r="I226" i="7" s="1"/>
  <c r="H227" i="7"/>
  <c r="I227" i="7" s="1"/>
  <c r="H225" i="7"/>
  <c r="I225" i="7" s="1"/>
  <c r="J225" i="7" s="1"/>
  <c r="H220" i="7"/>
  <c r="I220" i="7" s="1"/>
  <c r="J220" i="7" s="1"/>
  <c r="H219" i="7"/>
  <c r="I219" i="7" s="1"/>
  <c r="H214" i="7"/>
  <c r="I214" i="7" s="1"/>
  <c r="J214" i="7" s="1"/>
  <c r="H215" i="7"/>
  <c r="I215" i="7" s="1"/>
  <c r="H216" i="7"/>
  <c r="I216" i="7"/>
  <c r="J216" i="7" s="1"/>
  <c r="H213" i="7"/>
  <c r="I213" i="7" s="1"/>
  <c r="J213" i="7" s="1"/>
  <c r="H209" i="7"/>
  <c r="I209" i="7"/>
  <c r="H210" i="7"/>
  <c r="I210" i="7" s="1"/>
  <c r="H208" i="7"/>
  <c r="I208" i="7" s="1"/>
  <c r="J208" i="7" s="1"/>
  <c r="H192" i="7"/>
  <c r="I192" i="7" s="1"/>
  <c r="J192" i="7" s="1"/>
  <c r="H193" i="7"/>
  <c r="I193" i="7" s="1"/>
  <c r="J193" i="7" s="1"/>
  <c r="H194" i="7"/>
  <c r="I194" i="7"/>
  <c r="J194" i="7" s="1"/>
  <c r="H195" i="7"/>
  <c r="I195" i="7"/>
  <c r="J195" i="7"/>
  <c r="H196" i="7"/>
  <c r="I196" i="7" s="1"/>
  <c r="J196" i="7" s="1"/>
  <c r="H197" i="7"/>
  <c r="I197" i="7" s="1"/>
  <c r="J197" i="7" s="1"/>
  <c r="H198" i="7"/>
  <c r="I198" i="7"/>
  <c r="H199" i="7"/>
  <c r="I199" i="7"/>
  <c r="J199" i="7"/>
  <c r="H200" i="7"/>
  <c r="I200" i="7" s="1"/>
  <c r="H201" i="7"/>
  <c r="I201" i="7" s="1"/>
  <c r="J201" i="7" s="1"/>
  <c r="H202" i="7"/>
  <c r="I202" i="7"/>
  <c r="J202" i="7" s="1"/>
  <c r="H203" i="7"/>
  <c r="I203" i="7"/>
  <c r="J203" i="7"/>
  <c r="H191" i="7"/>
  <c r="I191" i="7" s="1"/>
  <c r="J191" i="7" s="1"/>
  <c r="H186" i="7"/>
  <c r="I186" i="7" s="1"/>
  <c r="J186" i="7" s="1"/>
  <c r="H187" i="7"/>
  <c r="I187" i="7" s="1"/>
  <c r="J187" i="7" s="1"/>
  <c r="H188" i="7"/>
  <c r="I188" i="7"/>
  <c r="J188" i="7" s="1"/>
  <c r="H185" i="7"/>
  <c r="I185" i="7" s="1"/>
  <c r="J185" i="7" s="1"/>
  <c r="H181" i="7"/>
  <c r="I181" i="7"/>
  <c r="H182" i="7"/>
  <c r="I182" i="7" s="1"/>
  <c r="H180" i="7"/>
  <c r="I180" i="7" s="1"/>
  <c r="J180" i="7" s="1"/>
  <c r="H174" i="7"/>
  <c r="I174" i="7" s="1"/>
  <c r="J174" i="7" s="1"/>
  <c r="H175" i="7"/>
  <c r="I175" i="7" s="1"/>
  <c r="J175" i="7" s="1"/>
  <c r="H176" i="7"/>
  <c r="I176" i="7"/>
  <c r="J176" i="7" s="1"/>
  <c r="H173" i="7"/>
  <c r="I173" i="7" s="1"/>
  <c r="J173" i="7" s="1"/>
  <c r="H169" i="7"/>
  <c r="I169" i="7" s="1"/>
  <c r="H170" i="7"/>
  <c r="I170" i="7" s="1"/>
  <c r="H168" i="7"/>
  <c r="I168" i="7" s="1"/>
  <c r="J168" i="7" s="1"/>
  <c r="H162" i="7"/>
  <c r="I162" i="7" s="1"/>
  <c r="J162" i="7" s="1"/>
  <c r="H163" i="7"/>
  <c r="I163" i="7" s="1"/>
  <c r="J163" i="7" s="1"/>
  <c r="H164" i="7"/>
  <c r="I164" i="7"/>
  <c r="J164" i="7" s="1"/>
  <c r="H161" i="7"/>
  <c r="I161" i="7" s="1"/>
  <c r="J161" i="7" s="1"/>
  <c r="H157" i="7"/>
  <c r="I157" i="7" s="1"/>
  <c r="H158" i="7"/>
  <c r="I158" i="7" s="1"/>
  <c r="H156" i="7"/>
  <c r="I156" i="7" s="1"/>
  <c r="J156" i="7" s="1"/>
  <c r="H141" i="7"/>
  <c r="I141" i="7" s="1"/>
  <c r="J141" i="7" s="1"/>
  <c r="H142" i="7"/>
  <c r="I142" i="7" s="1"/>
  <c r="J142" i="7" s="1"/>
  <c r="H143" i="7"/>
  <c r="I143" i="7"/>
  <c r="J143" i="7" s="1"/>
  <c r="H144" i="7"/>
  <c r="I144" i="7" s="1"/>
  <c r="J144" i="7" s="1"/>
  <c r="H145" i="7"/>
  <c r="I145" i="7"/>
  <c r="J145" i="7" s="1"/>
  <c r="H146" i="7"/>
  <c r="I146" i="7" s="1"/>
  <c r="J146" i="7" s="1"/>
  <c r="H147" i="7"/>
  <c r="I147" i="7"/>
  <c r="H148" i="7"/>
  <c r="I148" i="7" s="1"/>
  <c r="J148" i="7" s="1"/>
  <c r="H149" i="7"/>
  <c r="I149" i="7"/>
  <c r="H150" i="7"/>
  <c r="I150" i="7" s="1"/>
  <c r="J150" i="7" s="1"/>
  <c r="H151" i="7"/>
  <c r="I151" i="7"/>
  <c r="J151" i="7" s="1"/>
  <c r="H152" i="7"/>
  <c r="I152" i="7" s="1"/>
  <c r="J152" i="7" s="1"/>
  <c r="H140" i="7"/>
  <c r="I140" i="7" s="1"/>
  <c r="J140" i="7" s="1"/>
  <c r="H135" i="7"/>
  <c r="I135" i="7"/>
  <c r="J135" i="7"/>
  <c r="H136" i="7"/>
  <c r="I136" i="7" s="1"/>
  <c r="J136" i="7" s="1"/>
  <c r="H137" i="7"/>
  <c r="I137" i="7"/>
  <c r="J137" i="7" s="1"/>
  <c r="H134" i="7"/>
  <c r="I134" i="7" s="1"/>
  <c r="J134" i="7" s="1"/>
  <c r="H130" i="7"/>
  <c r="I130" i="7" s="1"/>
  <c r="H131" i="7"/>
  <c r="I131" i="7" s="1"/>
  <c r="H129" i="7"/>
  <c r="I129" i="7" s="1"/>
  <c r="J129" i="7" s="1"/>
  <c r="H123" i="7"/>
  <c r="I123" i="7" s="1"/>
  <c r="J123" i="7" s="1"/>
  <c r="H124" i="7"/>
  <c r="I124" i="7" s="1"/>
  <c r="J124" i="7" s="1"/>
  <c r="H125" i="7"/>
  <c r="I125" i="7" s="1"/>
  <c r="J125" i="7" s="1"/>
  <c r="H122" i="7"/>
  <c r="I122" i="7" s="1"/>
  <c r="J122" i="7" s="1"/>
  <c r="H118" i="7"/>
  <c r="I118" i="7"/>
  <c r="H119" i="7"/>
  <c r="I119" i="7" s="1"/>
  <c r="H117" i="7"/>
  <c r="I117" i="7" s="1"/>
  <c r="J117" i="7" s="1"/>
  <c r="H111" i="7"/>
  <c r="I111" i="7" s="1"/>
  <c r="J111" i="7" s="1"/>
  <c r="H112" i="7"/>
  <c r="I112" i="7" s="1"/>
  <c r="J112" i="7" s="1"/>
  <c r="H113" i="7"/>
  <c r="I113" i="7"/>
  <c r="J113" i="7" s="1"/>
  <c r="H110" i="7"/>
  <c r="I110" i="7" s="1"/>
  <c r="J110" i="7" s="1"/>
  <c r="H106" i="7"/>
  <c r="I106" i="7"/>
  <c r="H107" i="7"/>
  <c r="I107" i="7"/>
  <c r="I105" i="7"/>
  <c r="J105" i="7" s="1"/>
  <c r="H105" i="7"/>
  <c r="H91" i="7"/>
  <c r="I91" i="7" s="1"/>
  <c r="J91" i="7" s="1"/>
  <c r="H92" i="7"/>
  <c r="I92" i="7" s="1"/>
  <c r="J92" i="7" s="1"/>
  <c r="H93" i="7"/>
  <c r="I93" i="7"/>
  <c r="J93" i="7" s="1"/>
  <c r="H94" i="7"/>
  <c r="I94" i="7" s="1"/>
  <c r="J94" i="7" s="1"/>
  <c r="H95" i="7"/>
  <c r="I95" i="7"/>
  <c r="J95" i="7" s="1"/>
  <c r="H96" i="7"/>
  <c r="I96" i="7" s="1"/>
  <c r="J96" i="7" s="1"/>
  <c r="H97" i="7"/>
  <c r="I97" i="7"/>
  <c r="H98" i="7"/>
  <c r="I98" i="7" s="1"/>
  <c r="J98" i="7" s="1"/>
  <c r="H99" i="7"/>
  <c r="I99" i="7"/>
  <c r="H100" i="7"/>
  <c r="I100" i="7" s="1"/>
  <c r="J100" i="7" s="1"/>
  <c r="H101" i="7"/>
  <c r="I101" i="7"/>
  <c r="J101" i="7" s="1"/>
  <c r="H90" i="7"/>
  <c r="I90" i="7" s="1"/>
  <c r="J90" i="7" s="1"/>
  <c r="H85" i="7"/>
  <c r="I85" i="7"/>
  <c r="J85" i="7"/>
  <c r="H86" i="7"/>
  <c r="I86" i="7" s="1"/>
  <c r="J86" i="7" s="1"/>
  <c r="H87" i="7"/>
  <c r="I87" i="7"/>
  <c r="J87" i="7" s="1"/>
  <c r="H84" i="7"/>
  <c r="I84" i="7" s="1"/>
  <c r="J84" i="7" s="1"/>
  <c r="H80" i="7"/>
  <c r="I80" i="7"/>
  <c r="H81" i="7"/>
  <c r="I81" i="7" s="1"/>
  <c r="H79" i="7"/>
  <c r="I79" i="7" s="1"/>
  <c r="J79" i="7" s="1"/>
  <c r="H73" i="7"/>
  <c r="I73" i="7" s="1"/>
  <c r="J73" i="7" s="1"/>
  <c r="H74" i="7"/>
  <c r="I74" i="7" s="1"/>
  <c r="J74" i="7" s="1"/>
  <c r="H75" i="7"/>
  <c r="I75" i="7"/>
  <c r="J75" i="7" s="1"/>
  <c r="H72" i="7"/>
  <c r="I72" i="7" s="1"/>
  <c r="J72" i="7" s="1"/>
  <c r="H68" i="7"/>
  <c r="I68" i="7"/>
  <c r="H69" i="7"/>
  <c r="I69" i="7" s="1"/>
  <c r="H67" i="7"/>
  <c r="I67" i="7" s="1"/>
  <c r="J67" i="7" s="1"/>
  <c r="H61" i="7"/>
  <c r="I61" i="7"/>
  <c r="J61" i="7"/>
  <c r="H62" i="7"/>
  <c r="I62" i="7" s="1"/>
  <c r="J62" i="7" s="1"/>
  <c r="H63" i="7"/>
  <c r="I63" i="7"/>
  <c r="J63" i="7" s="1"/>
  <c r="H60" i="7"/>
  <c r="I60" i="7" s="1"/>
  <c r="J60" i="7" s="1"/>
  <c r="H56" i="7"/>
  <c r="I56" i="7" s="1"/>
  <c r="H57" i="7"/>
  <c r="I57" i="7" s="1"/>
  <c r="H55" i="7"/>
  <c r="I55" i="7" s="1"/>
  <c r="J55" i="7" s="1"/>
  <c r="H44" i="7"/>
  <c r="I44" i="7" s="1"/>
  <c r="H45" i="7"/>
  <c r="I45" i="7" s="1"/>
  <c r="H46" i="7"/>
  <c r="I46" i="7"/>
  <c r="J46" i="7" s="1"/>
  <c r="H47" i="7"/>
  <c r="I47" i="7" s="1"/>
  <c r="J47" i="7" s="1"/>
  <c r="H48" i="7"/>
  <c r="I48" i="7"/>
  <c r="J48" i="7" s="1"/>
  <c r="H49" i="7"/>
  <c r="I49" i="7" s="1"/>
  <c r="J49" i="7" s="1"/>
  <c r="H50" i="7"/>
  <c r="I50" i="7"/>
  <c r="J50" i="7" s="1"/>
  <c r="H51" i="7"/>
  <c r="I51" i="7" s="1"/>
  <c r="J51" i="7" s="1"/>
  <c r="H43" i="7"/>
  <c r="I43" i="7" s="1"/>
  <c r="J43" i="7" s="1"/>
  <c r="H37" i="7"/>
  <c r="I37" i="7" s="1"/>
  <c r="H38" i="7"/>
  <c r="I38" i="7" s="1"/>
  <c r="J38" i="7" s="1"/>
  <c r="H39" i="7"/>
  <c r="I39" i="7"/>
  <c r="J39" i="7" s="1"/>
  <c r="H36" i="7"/>
  <c r="I36" i="7" s="1"/>
  <c r="H33" i="7"/>
  <c r="I33" i="7" s="1"/>
  <c r="I32" i="7"/>
  <c r="H32" i="7"/>
  <c r="H31" i="7"/>
  <c r="I31" i="7" s="1"/>
  <c r="H26" i="7"/>
  <c r="I26" i="7" s="1"/>
  <c r="I25" i="7"/>
  <c r="H25" i="7"/>
  <c r="H24" i="7"/>
  <c r="I24" i="7" s="1"/>
  <c r="J24" i="7" s="1"/>
  <c r="I23" i="7"/>
  <c r="J23" i="7" s="1"/>
  <c r="H23" i="7"/>
  <c r="I22" i="7"/>
  <c r="H22" i="7"/>
  <c r="H19" i="7"/>
  <c r="I19" i="7" s="1"/>
  <c r="J19" i="7" s="1"/>
  <c r="H18" i="7"/>
  <c r="H17" i="7"/>
  <c r="I17" i="7"/>
  <c r="J17" i="7" s="1"/>
  <c r="H16" i="7"/>
  <c r="I16" i="7" s="1"/>
  <c r="J16" i="7" s="1"/>
  <c r="H15" i="7"/>
  <c r="I15" i="7" s="1"/>
  <c r="I18" i="7"/>
  <c r="J18" i="7" s="1"/>
  <c r="G15" i="7"/>
  <c r="F16" i="7"/>
  <c r="F17" i="7"/>
  <c r="F18" i="7"/>
  <c r="G18" i="7"/>
  <c r="F19" i="7"/>
  <c r="H14" i="7"/>
  <c r="I14" i="7" s="1"/>
  <c r="J11" i="7"/>
  <c r="I11" i="7"/>
  <c r="H11" i="7"/>
  <c r="F352" i="7"/>
  <c r="F225" i="7"/>
  <c r="F156" i="7"/>
  <c r="F129" i="7"/>
  <c r="F79" i="7"/>
  <c r="F43" i="7"/>
  <c r="F60" i="7"/>
  <c r="F61" i="7"/>
  <c r="F62" i="7"/>
  <c r="G62" i="7"/>
  <c r="F63" i="7"/>
  <c r="F37" i="13" s="1"/>
  <c r="F54" i="13"/>
  <c r="F53" i="13"/>
  <c r="F52" i="13"/>
  <c r="F50" i="13"/>
  <c r="F49" i="13"/>
  <c r="F47" i="13"/>
  <c r="F46" i="13"/>
  <c r="F45" i="13"/>
  <c r="F44" i="13"/>
  <c r="F43" i="13"/>
  <c r="F42" i="13"/>
  <c r="F41" i="13"/>
  <c r="F40" i="13"/>
  <c r="G23" i="13"/>
  <c r="H23" i="13" s="1"/>
  <c r="I23" i="13" s="1"/>
  <c r="G24" i="13"/>
  <c r="H24" i="13" s="1"/>
  <c r="I24" i="13" s="1"/>
  <c r="G24" i="7"/>
  <c r="N41" i="3"/>
  <c r="B23" i="13"/>
  <c r="D23" i="13"/>
  <c r="D24" i="13"/>
  <c r="J30" i="10" l="1"/>
  <c r="C33" i="10"/>
  <c r="J34" i="26"/>
  <c r="J25" i="26"/>
  <c r="J23" i="26"/>
  <c r="J10" i="26"/>
  <c r="J15" i="26"/>
  <c r="J40" i="26"/>
  <c r="J50" i="13"/>
  <c r="J47" i="13"/>
  <c r="J42" i="13"/>
  <c r="J37" i="13"/>
  <c r="J40" i="13"/>
  <c r="J52" i="13"/>
  <c r="J49" i="13"/>
  <c r="J44" i="13"/>
  <c r="J41" i="13"/>
  <c r="J54" i="13"/>
  <c r="J46" i="13"/>
  <c r="J43" i="13"/>
  <c r="J352" i="7"/>
  <c r="J67" i="2"/>
  <c r="A35" i="25"/>
  <c r="E28" i="25"/>
  <c r="A28" i="25"/>
  <c r="E27" i="25"/>
  <c r="A27" i="25"/>
  <c r="E26" i="25"/>
  <c r="A26" i="25"/>
  <c r="E25" i="25"/>
  <c r="A25" i="25"/>
  <c r="E24" i="25"/>
  <c r="A24" i="25"/>
  <c r="J66" i="2"/>
  <c r="J65" i="2"/>
  <c r="J68" i="2" s="1"/>
  <c r="B22" i="13"/>
  <c r="D22" i="13"/>
  <c r="G22" i="13"/>
  <c r="H22" i="13" s="1"/>
  <c r="I22" i="13" s="1"/>
  <c r="J44" i="26" l="1"/>
  <c r="K10" i="26" s="1"/>
  <c r="L10" i="26" s="1"/>
  <c r="M10" i="26" s="1"/>
  <c r="C44" i="14"/>
  <c r="D39" i="14"/>
  <c r="C37" i="14"/>
  <c r="D36" i="14" s="1"/>
  <c r="C35" i="14"/>
  <c r="D34" i="14" s="1"/>
  <c r="C32" i="14"/>
  <c r="C31" i="14"/>
  <c r="C30" i="14"/>
  <c r="C32" i="10"/>
  <c r="K25" i="26" l="1"/>
  <c r="K40" i="26"/>
  <c r="K34" i="26"/>
  <c r="K23" i="26"/>
  <c r="K15" i="26"/>
  <c r="K32" i="26"/>
  <c r="K11" i="26"/>
  <c r="L11" i="26" s="1"/>
  <c r="M11" i="26" s="1"/>
  <c r="K19" i="26"/>
  <c r="K35" i="26"/>
  <c r="K39" i="26"/>
  <c r="K43" i="26"/>
  <c r="K24" i="26"/>
  <c r="K36" i="26"/>
  <c r="K30" i="26"/>
  <c r="K38" i="26"/>
  <c r="K12" i="26"/>
  <c r="L12" i="26" s="1"/>
  <c r="K31" i="26"/>
  <c r="K37" i="26"/>
  <c r="K22" i="26"/>
  <c r="K26" i="26"/>
  <c r="K27" i="26"/>
  <c r="K18" i="26"/>
  <c r="K14" i="26"/>
  <c r="K33" i="26"/>
  <c r="K16" i="26"/>
  <c r="K29" i="26"/>
  <c r="K42" i="26"/>
  <c r="K41" i="26"/>
  <c r="K28" i="26"/>
  <c r="K20" i="26"/>
  <c r="K21" i="26"/>
  <c r="K13" i="26"/>
  <c r="K17" i="26"/>
  <c r="C33" i="14"/>
  <c r="D29" i="14"/>
  <c r="B48" i="14" s="1"/>
  <c r="D49" i="14" s="1"/>
  <c r="L13" i="26" l="1"/>
  <c r="M12" i="26"/>
  <c r="B30" i="10"/>
  <c r="B24" i="10"/>
  <c r="B21" i="10"/>
  <c r="B18" i="10"/>
  <c r="B15" i="10"/>
  <c r="C17" i="10"/>
  <c r="N17" i="10" s="1"/>
  <c r="N16" i="10" s="1"/>
  <c r="J91" i="2"/>
  <c r="J90" i="2"/>
  <c r="J89" i="2"/>
  <c r="J88" i="2"/>
  <c r="J87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42" i="2"/>
  <c r="A43" i="2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J32" i="2"/>
  <c r="J33" i="2"/>
  <c r="J34" i="2"/>
  <c r="J35" i="2"/>
  <c r="J36" i="2"/>
  <c r="J31" i="2"/>
  <c r="L14" i="26" l="1"/>
  <c r="M13" i="26"/>
  <c r="J92" i="2"/>
  <c r="J60" i="2"/>
  <c r="J37" i="2"/>
  <c r="L15" i="26" l="1"/>
  <c r="M14" i="26"/>
  <c r="G18" i="13"/>
  <c r="G15" i="13"/>
  <c r="G368" i="7"/>
  <c r="G302" i="7"/>
  <c r="G248" i="7"/>
  <c r="G203" i="7"/>
  <c r="G152" i="7"/>
  <c r="G101" i="7"/>
  <c r="G342" i="7"/>
  <c r="G54" i="13"/>
  <c r="G275" i="7"/>
  <c r="G220" i="7"/>
  <c r="J25" i="2"/>
  <c r="J24" i="2"/>
  <c r="J23" i="2"/>
  <c r="J22" i="2"/>
  <c r="J21" i="2"/>
  <c r="J20" i="2"/>
  <c r="L16" i="26" l="1"/>
  <c r="M15" i="26"/>
  <c r="J26" i="2"/>
  <c r="L17" i="26" l="1"/>
  <c r="M16" i="26"/>
  <c r="G14" i="7"/>
  <c r="G14" i="13"/>
  <c r="L18" i="26" l="1"/>
  <c r="M17" i="26"/>
  <c r="H40" i="21"/>
  <c r="I40" i="21" s="1"/>
  <c r="H168" i="21"/>
  <c r="I168" i="21" s="1"/>
  <c r="H130" i="21"/>
  <c r="I130" i="21" s="1"/>
  <c r="H58" i="21"/>
  <c r="I58" i="21" s="1"/>
  <c r="H176" i="21"/>
  <c r="I176" i="21" s="1"/>
  <c r="H102" i="21"/>
  <c r="I102" i="21" s="1"/>
  <c r="H220" i="21"/>
  <c r="I220" i="21" s="1"/>
  <c r="H51" i="21"/>
  <c r="I51" i="21" s="1"/>
  <c r="H230" i="21"/>
  <c r="I230" i="21" s="1"/>
  <c r="H238" i="21"/>
  <c r="I238" i="21" s="1"/>
  <c r="H246" i="21"/>
  <c r="I246" i="21" s="1"/>
  <c r="H156" i="21"/>
  <c r="I156" i="21" s="1"/>
  <c r="H212" i="21"/>
  <c r="I212" i="21" s="1"/>
  <c r="H120" i="21"/>
  <c r="I120" i="21" s="1"/>
  <c r="H148" i="21"/>
  <c r="I148" i="21" s="1"/>
  <c r="H194" i="21"/>
  <c r="I194" i="21" s="1"/>
  <c r="H101" i="21"/>
  <c r="I101" i="21" s="1"/>
  <c r="P101" i="21" s="1"/>
  <c r="H76" i="21"/>
  <c r="I76" i="21" s="1"/>
  <c r="H39" i="21"/>
  <c r="I39" i="21" s="1"/>
  <c r="H167" i="21"/>
  <c r="I167" i="21" s="1"/>
  <c r="H129" i="21"/>
  <c r="I129" i="21" s="1"/>
  <c r="H121" i="21"/>
  <c r="I121" i="21" s="1"/>
  <c r="H43" i="21"/>
  <c r="I43" i="21" s="1"/>
  <c r="H175" i="21"/>
  <c r="I175" i="21" s="1"/>
  <c r="H100" i="21"/>
  <c r="I100" i="21" s="1"/>
  <c r="H219" i="21"/>
  <c r="I219" i="21" s="1"/>
  <c r="H50" i="21"/>
  <c r="I50" i="21" s="1"/>
  <c r="H229" i="21"/>
  <c r="I229" i="21" s="1"/>
  <c r="H222" i="21"/>
  <c r="I222" i="21" s="1"/>
  <c r="H237" i="21"/>
  <c r="I237" i="21" s="1"/>
  <c r="H245" i="21"/>
  <c r="I245" i="21" s="1"/>
  <c r="H155" i="21"/>
  <c r="I155" i="21" s="1"/>
  <c r="H211" i="21"/>
  <c r="I211" i="21" s="1"/>
  <c r="H119" i="21"/>
  <c r="I119" i="21" s="1"/>
  <c r="H147" i="21"/>
  <c r="I147" i="21" s="1"/>
  <c r="H193" i="21"/>
  <c r="I193" i="21" s="1"/>
  <c r="H99" i="21"/>
  <c r="I99" i="21" s="1"/>
  <c r="P99" i="21" s="1"/>
  <c r="H75" i="21"/>
  <c r="I75" i="21" s="1"/>
  <c r="H210" i="21"/>
  <c r="I210" i="21" s="1"/>
  <c r="H118" i="21"/>
  <c r="I118" i="21" s="1"/>
  <c r="P118" i="21" s="1"/>
  <c r="H146" i="21"/>
  <c r="I146" i="21" s="1"/>
  <c r="H192" i="21"/>
  <c r="I192" i="21" s="1"/>
  <c r="H98" i="21"/>
  <c r="I98" i="21" s="1"/>
  <c r="P98" i="21" s="1"/>
  <c r="H74" i="21"/>
  <c r="I74" i="21" s="1"/>
  <c r="H38" i="21"/>
  <c r="I38" i="21" s="1"/>
  <c r="H162" i="21"/>
  <c r="I162" i="21" s="1"/>
  <c r="H166" i="21"/>
  <c r="I166" i="21" s="1"/>
  <c r="H128" i="21"/>
  <c r="I128" i="21" s="1"/>
  <c r="H57" i="21"/>
  <c r="I57" i="21" s="1"/>
  <c r="H174" i="21"/>
  <c r="I174" i="21" s="1"/>
  <c r="H97" i="21"/>
  <c r="I97" i="21" s="1"/>
  <c r="H218" i="21"/>
  <c r="I218" i="21" s="1"/>
  <c r="H49" i="21"/>
  <c r="I49" i="21" s="1"/>
  <c r="H228" i="21"/>
  <c r="I228" i="21" s="1"/>
  <c r="H236" i="21"/>
  <c r="I236" i="21" s="1"/>
  <c r="H244" i="21"/>
  <c r="I244" i="21" s="1"/>
  <c r="H154" i="21"/>
  <c r="I154" i="21" s="1"/>
  <c r="H209" i="21"/>
  <c r="I209" i="21" s="1"/>
  <c r="H117" i="21"/>
  <c r="I117" i="21" s="1"/>
  <c r="P117" i="21" s="1"/>
  <c r="H145" i="21"/>
  <c r="I145" i="21" s="1"/>
  <c r="H191" i="21"/>
  <c r="I191" i="21" s="1"/>
  <c r="H96" i="21"/>
  <c r="I96" i="21" s="1"/>
  <c r="P96" i="21" s="1"/>
  <c r="H73" i="21"/>
  <c r="I73" i="21" s="1"/>
  <c r="H37" i="21"/>
  <c r="I37" i="21" s="1"/>
  <c r="H161" i="21"/>
  <c r="I161" i="21" s="1"/>
  <c r="H127" i="21"/>
  <c r="I127" i="21" s="1"/>
  <c r="H56" i="21"/>
  <c r="I56" i="21" s="1"/>
  <c r="H173" i="21"/>
  <c r="I173" i="21" s="1"/>
  <c r="H95" i="21"/>
  <c r="I95" i="21" s="1"/>
  <c r="H217" i="21"/>
  <c r="I217" i="21" s="1"/>
  <c r="H48" i="21"/>
  <c r="I48" i="21" s="1"/>
  <c r="H227" i="21"/>
  <c r="I227" i="21" s="1"/>
  <c r="H235" i="21"/>
  <c r="I235" i="21" s="1"/>
  <c r="H243" i="21"/>
  <c r="I243" i="21" s="1"/>
  <c r="H153" i="21"/>
  <c r="I153" i="21" s="1"/>
  <c r="H208" i="21"/>
  <c r="I208" i="21" s="1"/>
  <c r="H116" i="21"/>
  <c r="I116" i="21" s="1"/>
  <c r="P116" i="21" s="1"/>
  <c r="H144" i="21"/>
  <c r="I144" i="21" s="1"/>
  <c r="H190" i="21"/>
  <c r="I190" i="21" s="1"/>
  <c r="H94" i="21"/>
  <c r="I94" i="21" s="1"/>
  <c r="P94" i="21" s="1"/>
  <c r="H72" i="21"/>
  <c r="I72" i="21" s="1"/>
  <c r="H36" i="21"/>
  <c r="I36" i="21" s="1"/>
  <c r="H160" i="21"/>
  <c r="I160" i="21" s="1"/>
  <c r="H165" i="21"/>
  <c r="I165" i="21" s="1"/>
  <c r="H126" i="21"/>
  <c r="I126" i="21" s="1"/>
  <c r="H55" i="21"/>
  <c r="I55" i="21" s="1"/>
  <c r="H172" i="21"/>
  <c r="I172" i="21" s="1"/>
  <c r="H93" i="21"/>
  <c r="I93" i="21" s="1"/>
  <c r="H216" i="21"/>
  <c r="I216" i="21" s="1"/>
  <c r="H47" i="21"/>
  <c r="I47" i="21" s="1"/>
  <c r="H226" i="21"/>
  <c r="I226" i="21" s="1"/>
  <c r="H234" i="21"/>
  <c r="I234" i="21" s="1"/>
  <c r="H242" i="21"/>
  <c r="I242" i="21" s="1"/>
  <c r="H152" i="21"/>
  <c r="I152" i="21" s="1"/>
  <c r="H207" i="21"/>
  <c r="I207" i="21" s="1"/>
  <c r="H115" i="21"/>
  <c r="I115" i="21" s="1"/>
  <c r="P115" i="21" s="1"/>
  <c r="H143" i="21"/>
  <c r="I143" i="21" s="1"/>
  <c r="H189" i="21"/>
  <c r="I189" i="21" s="1"/>
  <c r="H92" i="21"/>
  <c r="I92" i="21" s="1"/>
  <c r="P92" i="21" s="1"/>
  <c r="H71" i="21"/>
  <c r="I71" i="21" s="1"/>
  <c r="H35" i="21"/>
  <c r="I35" i="21" s="1"/>
  <c r="H125" i="21"/>
  <c r="I125" i="21" s="1"/>
  <c r="H206" i="21"/>
  <c r="I206" i="21" s="1"/>
  <c r="H114" i="21"/>
  <c r="I114" i="21" s="1"/>
  <c r="P114" i="21" s="1"/>
  <c r="H142" i="21"/>
  <c r="I142" i="21" s="1"/>
  <c r="H188" i="21"/>
  <c r="I188" i="21" s="1"/>
  <c r="H91" i="21"/>
  <c r="I91" i="21" s="1"/>
  <c r="P91" i="21" s="1"/>
  <c r="H70" i="21"/>
  <c r="I70" i="21" s="1"/>
  <c r="H34" i="21"/>
  <c r="I34" i="21" s="1"/>
  <c r="H159" i="21"/>
  <c r="I159" i="21" s="1"/>
  <c r="H164" i="21"/>
  <c r="I164" i="21" s="1"/>
  <c r="H124" i="21"/>
  <c r="I124" i="21" s="1"/>
  <c r="H54" i="21"/>
  <c r="I54" i="21" s="1"/>
  <c r="H171" i="21"/>
  <c r="I171" i="21" s="1"/>
  <c r="H90" i="21"/>
  <c r="I90" i="21" s="1"/>
  <c r="H215" i="21"/>
  <c r="I215" i="21" s="1"/>
  <c r="H46" i="21"/>
  <c r="I46" i="21" s="1"/>
  <c r="H225" i="21"/>
  <c r="I225" i="21" s="1"/>
  <c r="H233" i="21"/>
  <c r="I233" i="21" s="1"/>
  <c r="H241" i="21"/>
  <c r="I241" i="21" s="1"/>
  <c r="H151" i="21"/>
  <c r="I151" i="21" s="1"/>
  <c r="H205" i="21"/>
  <c r="I205" i="21" s="1"/>
  <c r="H113" i="21"/>
  <c r="I113" i="21" s="1"/>
  <c r="P113" i="21" s="1"/>
  <c r="H141" i="21"/>
  <c r="I141" i="21" s="1"/>
  <c r="H187" i="21"/>
  <c r="I187" i="21" s="1"/>
  <c r="H89" i="21"/>
  <c r="I89" i="21" s="1"/>
  <c r="P89" i="21" s="1"/>
  <c r="H69" i="21"/>
  <c r="I69" i="21" s="1"/>
  <c r="H204" i="21"/>
  <c r="I204" i="21" s="1"/>
  <c r="H112" i="21"/>
  <c r="I112" i="21" s="1"/>
  <c r="P112" i="21" s="1"/>
  <c r="H140" i="21"/>
  <c r="I140" i="21" s="1"/>
  <c r="H186" i="21"/>
  <c r="I186" i="21" s="1"/>
  <c r="H88" i="21"/>
  <c r="I88" i="21" s="1"/>
  <c r="P88" i="21" s="1"/>
  <c r="H68" i="21"/>
  <c r="I68" i="21" s="1"/>
  <c r="H203" i="21"/>
  <c r="I203" i="21" s="1"/>
  <c r="H111" i="21"/>
  <c r="I111" i="21" s="1"/>
  <c r="P111" i="21" s="1"/>
  <c r="H139" i="21"/>
  <c r="I139" i="21" s="1"/>
  <c r="H185" i="21"/>
  <c r="I185" i="21" s="1"/>
  <c r="H87" i="21"/>
  <c r="I87" i="21" s="1"/>
  <c r="P87" i="21" s="1"/>
  <c r="H67" i="21"/>
  <c r="I67" i="21" s="1"/>
  <c r="H33" i="21"/>
  <c r="I33" i="21" s="1"/>
  <c r="H158" i="21"/>
  <c r="I158" i="21" s="1"/>
  <c r="H163" i="21"/>
  <c r="I163" i="21" s="1"/>
  <c r="H123" i="21"/>
  <c r="I123" i="21" s="1"/>
  <c r="H53" i="21"/>
  <c r="I53" i="21" s="1"/>
  <c r="H170" i="21"/>
  <c r="I170" i="21" s="1"/>
  <c r="H86" i="21"/>
  <c r="I86" i="21" s="1"/>
  <c r="H214" i="21"/>
  <c r="I214" i="21" s="1"/>
  <c r="H45" i="21"/>
  <c r="I45" i="21" s="1"/>
  <c r="H224" i="21"/>
  <c r="I224" i="21" s="1"/>
  <c r="H232" i="21"/>
  <c r="I232" i="21" s="1"/>
  <c r="H240" i="21"/>
  <c r="I240" i="21" s="1"/>
  <c r="H150" i="21"/>
  <c r="I150" i="21" s="1"/>
  <c r="H202" i="21"/>
  <c r="I202" i="21" s="1"/>
  <c r="H110" i="21"/>
  <c r="I110" i="21" s="1"/>
  <c r="P110" i="21" s="1"/>
  <c r="H138" i="21"/>
  <c r="I138" i="21" s="1"/>
  <c r="H184" i="21"/>
  <c r="I184" i="21" s="1"/>
  <c r="H85" i="21"/>
  <c r="I85" i="21" s="1"/>
  <c r="P85" i="21" s="1"/>
  <c r="H66" i="21"/>
  <c r="I66" i="21" s="1"/>
  <c r="H201" i="21"/>
  <c r="I201" i="21" s="1"/>
  <c r="H109" i="21"/>
  <c r="I109" i="21" s="1"/>
  <c r="P109" i="21" s="1"/>
  <c r="H137" i="21"/>
  <c r="I137" i="21" s="1"/>
  <c r="H183" i="21"/>
  <c r="I183" i="21" s="1"/>
  <c r="H84" i="21"/>
  <c r="I84" i="21" s="1"/>
  <c r="P84" i="21" s="1"/>
  <c r="H65" i="21"/>
  <c r="I65" i="21" s="1"/>
  <c r="H200" i="21"/>
  <c r="I200" i="21" s="1"/>
  <c r="H108" i="21"/>
  <c r="I108" i="21" s="1"/>
  <c r="P108" i="21" s="1"/>
  <c r="H136" i="21"/>
  <c r="I136" i="21" s="1"/>
  <c r="H182" i="21"/>
  <c r="I182" i="21" s="1"/>
  <c r="H83" i="21"/>
  <c r="I83" i="21" s="1"/>
  <c r="P83" i="21" s="1"/>
  <c r="H64" i="21"/>
  <c r="I64" i="21" s="1"/>
  <c r="H32" i="21"/>
  <c r="I32" i="21" s="1"/>
  <c r="H157" i="21"/>
  <c r="I157" i="21" s="1"/>
  <c r="H122" i="21"/>
  <c r="I122" i="21" s="1"/>
  <c r="H52" i="21"/>
  <c r="I52" i="21" s="1"/>
  <c r="H169" i="21"/>
  <c r="I169" i="21" s="1"/>
  <c r="H82" i="21"/>
  <c r="I82" i="21" s="1"/>
  <c r="H213" i="21"/>
  <c r="I213" i="21" s="1"/>
  <c r="H44" i="21"/>
  <c r="I44" i="21" s="1"/>
  <c r="H223" i="21"/>
  <c r="I223" i="21" s="1"/>
  <c r="H231" i="21"/>
  <c r="I231" i="21" s="1"/>
  <c r="H239" i="21"/>
  <c r="I239" i="21" s="1"/>
  <c r="H149" i="21"/>
  <c r="I149" i="21" s="1"/>
  <c r="H199" i="21"/>
  <c r="I199" i="21" s="1"/>
  <c r="H107" i="21"/>
  <c r="I107" i="21" s="1"/>
  <c r="P107" i="21" s="1"/>
  <c r="H135" i="21"/>
  <c r="I135" i="21" s="1"/>
  <c r="H181" i="21"/>
  <c r="I181" i="21" s="1"/>
  <c r="H81" i="21"/>
  <c r="I81" i="21" s="1"/>
  <c r="H63" i="21"/>
  <c r="I63" i="21" s="1"/>
  <c r="H198" i="21"/>
  <c r="I198" i="21" s="1"/>
  <c r="H106" i="21"/>
  <c r="I106" i="21" s="1"/>
  <c r="P106" i="21" s="1"/>
  <c r="H134" i="21"/>
  <c r="I134" i="21" s="1"/>
  <c r="H180" i="21"/>
  <c r="I180" i="21" s="1"/>
  <c r="H80" i="21"/>
  <c r="I80" i="21" s="1"/>
  <c r="H62" i="21"/>
  <c r="I62" i="21" s="1"/>
  <c r="H197" i="21"/>
  <c r="I197" i="21" s="1"/>
  <c r="H105" i="21"/>
  <c r="I105" i="21" s="1"/>
  <c r="P105" i="21" s="1"/>
  <c r="H133" i="21"/>
  <c r="I133" i="21" s="1"/>
  <c r="H179" i="21"/>
  <c r="I179" i="21" s="1"/>
  <c r="H79" i="21"/>
  <c r="I79" i="21" s="1"/>
  <c r="H61" i="21"/>
  <c r="I61" i="21" s="1"/>
  <c r="H196" i="21"/>
  <c r="I196" i="21" s="1"/>
  <c r="H104" i="21"/>
  <c r="I104" i="21" s="1"/>
  <c r="P104" i="21" s="1"/>
  <c r="H132" i="21"/>
  <c r="I132" i="21" s="1"/>
  <c r="H178" i="21"/>
  <c r="I178" i="21" s="1"/>
  <c r="H78" i="21"/>
  <c r="I78" i="21" s="1"/>
  <c r="H60" i="21"/>
  <c r="I60" i="21" s="1"/>
  <c r="H195" i="21"/>
  <c r="I195" i="21" s="1"/>
  <c r="H103" i="21"/>
  <c r="I103" i="21" s="1"/>
  <c r="P103" i="21" s="1"/>
  <c r="H131" i="21"/>
  <c r="I131" i="21" s="1"/>
  <c r="H177" i="21"/>
  <c r="I177" i="21" s="1"/>
  <c r="H77" i="21"/>
  <c r="I77" i="21" s="1"/>
  <c r="H59" i="21"/>
  <c r="I59" i="21" s="1"/>
  <c r="H28" i="21"/>
  <c r="I28" i="21" s="1"/>
  <c r="H29" i="21"/>
  <c r="I29" i="21" s="1"/>
  <c r="H42" i="21"/>
  <c r="I42" i="21" s="1"/>
  <c r="H31" i="21"/>
  <c r="I31" i="21" s="1"/>
  <c r="H41" i="21"/>
  <c r="I41" i="21" s="1"/>
  <c r="H221" i="21"/>
  <c r="I221" i="21" s="1"/>
  <c r="H249" i="21"/>
  <c r="I249" i="21" s="1"/>
  <c r="H247" i="21"/>
  <c r="I247" i="21" s="1"/>
  <c r="H248" i="21"/>
  <c r="I248" i="21" s="1"/>
  <c r="H250" i="21"/>
  <c r="I250" i="21" s="1"/>
  <c r="H30" i="21"/>
  <c r="I30" i="21" s="1"/>
  <c r="L19" i="26" l="1"/>
  <c r="M18" i="26"/>
  <c r="J74" i="2"/>
  <c r="J75" i="2"/>
  <c r="J76" i="2"/>
  <c r="J77" i="2"/>
  <c r="J78" i="2"/>
  <c r="J79" i="2"/>
  <c r="J80" i="2"/>
  <c r="J81" i="2"/>
  <c r="J73" i="2"/>
  <c r="L20" i="26" l="1"/>
  <c r="M19" i="26"/>
  <c r="J82" i="2"/>
  <c r="L21" i="26" l="1"/>
  <c r="M20" i="26"/>
  <c r="G313" i="7"/>
  <c r="G260" i="7"/>
  <c r="G215" i="7"/>
  <c r="G163" i="7"/>
  <c r="G112" i="7"/>
  <c r="G353" i="7"/>
  <c r="G36" i="13"/>
  <c r="G286" i="7"/>
  <c r="G232" i="7"/>
  <c r="G187" i="7"/>
  <c r="G136" i="7"/>
  <c r="G325" i="7"/>
  <c r="G175" i="7"/>
  <c r="G124" i="7"/>
  <c r="G86" i="7"/>
  <c r="G38" i="7"/>
  <c r="G74" i="7"/>
  <c r="G50" i="7"/>
  <c r="G26" i="21"/>
  <c r="H26" i="21" s="1"/>
  <c r="I26" i="21" s="1"/>
  <c r="G24" i="21"/>
  <c r="H24" i="21" s="1"/>
  <c r="I24" i="21" s="1"/>
  <c r="G23" i="21"/>
  <c r="H23" i="21" s="1"/>
  <c r="I23" i="21" s="1"/>
  <c r="G17" i="21"/>
  <c r="H17" i="21" s="1"/>
  <c r="I17" i="21" s="1"/>
  <c r="G15" i="21"/>
  <c r="H15" i="21" s="1"/>
  <c r="I15" i="21" s="1"/>
  <c r="G13" i="21"/>
  <c r="H13" i="21" s="1"/>
  <c r="I13" i="21" s="1"/>
  <c r="G11" i="21"/>
  <c r="G9" i="21"/>
  <c r="G22" i="21"/>
  <c r="H22" i="21" s="1"/>
  <c r="I22" i="21" s="1"/>
  <c r="G20" i="21"/>
  <c r="H20" i="21" s="1"/>
  <c r="I20" i="21" s="1"/>
  <c r="G18" i="21"/>
  <c r="G25" i="21"/>
  <c r="H25" i="21" s="1"/>
  <c r="I25" i="21" s="1"/>
  <c r="G16" i="21"/>
  <c r="G14" i="21"/>
  <c r="H14" i="21" s="1"/>
  <c r="I14" i="21" s="1"/>
  <c r="G12" i="21"/>
  <c r="G10" i="21"/>
  <c r="H10" i="21" s="1"/>
  <c r="I10" i="21" s="1"/>
  <c r="G21" i="21"/>
  <c r="H21" i="21" s="1"/>
  <c r="I21" i="21" s="1"/>
  <c r="G19" i="21"/>
  <c r="H19" i="21" s="1"/>
  <c r="I19" i="21" s="1"/>
  <c r="L22" i="26" l="1"/>
  <c r="M21" i="26"/>
  <c r="H9" i="21"/>
  <c r="I9" i="21" s="1"/>
  <c r="H12" i="21"/>
  <c r="I12" i="21" s="1"/>
  <c r="H18" i="21"/>
  <c r="I18" i="21" s="1"/>
  <c r="H11" i="21"/>
  <c r="I11" i="21" s="1"/>
  <c r="H16" i="21"/>
  <c r="I16" i="21" s="1"/>
  <c r="J14" i="2"/>
  <c r="J13" i="2"/>
  <c r="N675" i="3"/>
  <c r="N674" i="3" s="1"/>
  <c r="F210" i="21" s="1"/>
  <c r="N672" i="3"/>
  <c r="N671" i="3" s="1"/>
  <c r="F24" i="21" s="1"/>
  <c r="J24" i="21" s="1"/>
  <c r="N669" i="3"/>
  <c r="N668" i="3" s="1"/>
  <c r="F118" i="21" s="1"/>
  <c r="L23" i="26" l="1"/>
  <c r="M22" i="26"/>
  <c r="F314" i="7"/>
  <c r="J15" i="2"/>
  <c r="M118" i="21"/>
  <c r="J118" i="21"/>
  <c r="L118" i="21"/>
  <c r="F312" i="7"/>
  <c r="M24" i="21"/>
  <c r="L24" i="21"/>
  <c r="J210" i="21"/>
  <c r="M210" i="21"/>
  <c r="L210" i="21"/>
  <c r="F313" i="7"/>
  <c r="Q421" i="3"/>
  <c r="R421" i="3" s="1"/>
  <c r="L24" i="26" l="1"/>
  <c r="M23" i="26"/>
  <c r="G11" i="7"/>
  <c r="G11" i="13"/>
  <c r="N74" i="3"/>
  <c r="N73" i="3" s="1"/>
  <c r="N803" i="3"/>
  <c r="N802" i="3" s="1"/>
  <c r="N800" i="3"/>
  <c r="N799" i="3" s="1"/>
  <c r="N796" i="3"/>
  <c r="N766" i="3"/>
  <c r="N765" i="3" s="1"/>
  <c r="N763" i="3"/>
  <c r="N762" i="3" s="1"/>
  <c r="N760" i="3"/>
  <c r="N759" i="3" s="1"/>
  <c r="N742" i="3"/>
  <c r="N741" i="3" s="1"/>
  <c r="N739" i="3"/>
  <c r="N738" i="3" s="1"/>
  <c r="N735" i="3"/>
  <c r="N733" i="3"/>
  <c r="N732" i="3" s="1"/>
  <c r="N698" i="3"/>
  <c r="N697" i="3" s="1"/>
  <c r="N695" i="3"/>
  <c r="N694" i="3" s="1"/>
  <c r="N692" i="3"/>
  <c r="N691" i="3" s="1"/>
  <c r="N652" i="3"/>
  <c r="N651" i="3" s="1"/>
  <c r="N649" i="3"/>
  <c r="N648" i="3" s="1"/>
  <c r="N646" i="3"/>
  <c r="N645" i="3" s="1"/>
  <c r="N642" i="3"/>
  <c r="N588" i="3"/>
  <c r="N587" i="3" s="1"/>
  <c r="N585" i="3"/>
  <c r="N584" i="3" s="1"/>
  <c r="N581" i="3"/>
  <c r="N551" i="3"/>
  <c r="N550" i="3" s="1"/>
  <c r="N548" i="3"/>
  <c r="N547" i="3" s="1"/>
  <c r="N545" i="3"/>
  <c r="N544" i="3" s="1"/>
  <c r="N526" i="3"/>
  <c r="N525" i="3" s="1"/>
  <c r="N523" i="3"/>
  <c r="N522" i="3" s="1"/>
  <c r="N520" i="3"/>
  <c r="N519" i="3" s="1"/>
  <c r="N516" i="3"/>
  <c r="N485" i="3"/>
  <c r="N484" i="3" s="1"/>
  <c r="N482" i="3"/>
  <c r="N481" i="3" s="1"/>
  <c r="N479" i="3"/>
  <c r="N478" i="3" s="1"/>
  <c r="N460" i="3"/>
  <c r="N459" i="3" s="1"/>
  <c r="N456" i="3"/>
  <c r="N453" i="3"/>
  <c r="N452" i="3" s="1"/>
  <c r="N450" i="3"/>
  <c r="N449" i="3" s="1"/>
  <c r="N447" i="3"/>
  <c r="N446" i="3" s="1"/>
  <c r="N428" i="3"/>
  <c r="N427" i="3" s="1"/>
  <c r="N425" i="3"/>
  <c r="N424" i="3" s="1"/>
  <c r="N422" i="3"/>
  <c r="N421" i="3" s="1"/>
  <c r="N418" i="3"/>
  <c r="N364" i="3"/>
  <c r="N363" i="3" s="1"/>
  <c r="N361" i="3"/>
  <c r="N360" i="3" s="1"/>
  <c r="N358" i="3"/>
  <c r="N357" i="3" s="1"/>
  <c r="N317" i="3"/>
  <c r="N316" i="3" s="1"/>
  <c r="N314" i="3"/>
  <c r="N313" i="3" s="1"/>
  <c r="N311" i="3"/>
  <c r="N310" i="3" s="1"/>
  <c r="N307" i="3"/>
  <c r="N276" i="3"/>
  <c r="N275" i="3" s="1"/>
  <c r="N273" i="3"/>
  <c r="N272" i="3" s="1"/>
  <c r="N270" i="3"/>
  <c r="N269" i="3" s="1"/>
  <c r="N253" i="3"/>
  <c r="N252" i="3" s="1"/>
  <c r="N250" i="3"/>
  <c r="N249" i="3" s="1"/>
  <c r="N247" i="3"/>
  <c r="N246" i="3" s="1"/>
  <c r="N229" i="3"/>
  <c r="N228" i="3" s="1"/>
  <c r="N226" i="3"/>
  <c r="N225" i="3" s="1"/>
  <c r="N223" i="3"/>
  <c r="N222" i="3" s="1"/>
  <c r="N198" i="3"/>
  <c r="N144" i="3"/>
  <c r="N143" i="3" s="1"/>
  <c r="N141" i="3"/>
  <c r="N140" i="3" s="1"/>
  <c r="E138" i="3"/>
  <c r="N138" i="3" s="1"/>
  <c r="N137" i="3" s="1"/>
  <c r="N121" i="3"/>
  <c r="N120" i="3" s="1"/>
  <c r="N118" i="3"/>
  <c r="N117" i="3" s="1"/>
  <c r="N115" i="3"/>
  <c r="N114" i="3" s="1"/>
  <c r="N113" i="3"/>
  <c r="N112" i="3" s="1"/>
  <c r="N98" i="3"/>
  <c r="N97" i="3" s="1"/>
  <c r="N95" i="3"/>
  <c r="N94" i="3" s="1"/>
  <c r="E92" i="3"/>
  <c r="N92" i="3" s="1"/>
  <c r="N91" i="3" s="1"/>
  <c r="N49" i="3"/>
  <c r="N46" i="3"/>
  <c r="N44" i="3"/>
  <c r="N43" i="3" s="1"/>
  <c r="N40" i="3"/>
  <c r="N37" i="3"/>
  <c r="L25" i="26" l="1"/>
  <c r="M24" i="26"/>
  <c r="F25" i="7"/>
  <c r="J25" i="7" s="1"/>
  <c r="F22" i="7"/>
  <c r="J22" i="7" s="1"/>
  <c r="F26" i="7"/>
  <c r="J26" i="7" s="1"/>
  <c r="F23" i="7"/>
  <c r="F114" i="21"/>
  <c r="F214" i="7"/>
  <c r="F164" i="21"/>
  <c r="F201" i="7"/>
  <c r="F37" i="21"/>
  <c r="F275" i="7"/>
  <c r="F166" i="21"/>
  <c r="F300" i="7"/>
  <c r="F208" i="21"/>
  <c r="F261" i="7"/>
  <c r="F128" i="21"/>
  <c r="F299" i="7"/>
  <c r="J299" i="7" s="1"/>
  <c r="F26" i="21"/>
  <c r="F353" i="7"/>
  <c r="F195" i="21"/>
  <c r="F39" i="7"/>
  <c r="F122" i="21"/>
  <c r="F99" i="7"/>
  <c r="F16" i="21"/>
  <c r="F136" i="7"/>
  <c r="F204" i="21"/>
  <c r="F176" i="7"/>
  <c r="F20" i="21"/>
  <c r="F215" i="7"/>
  <c r="J215" i="7" s="1"/>
  <c r="F22" i="21"/>
  <c r="F260" i="7"/>
  <c r="F161" i="21"/>
  <c r="F274" i="7"/>
  <c r="F38" i="21"/>
  <c r="F302" i="7"/>
  <c r="F120" i="21"/>
  <c r="F168" i="21"/>
  <c r="F367" i="7"/>
  <c r="F31" i="21"/>
  <c r="F23" i="13"/>
  <c r="J23" i="13" s="1"/>
  <c r="F104" i="21"/>
  <c r="F49" i="7"/>
  <c r="F105" i="21"/>
  <c r="F12" i="21"/>
  <c r="F74" i="7"/>
  <c r="F14" i="21"/>
  <c r="F112" i="7"/>
  <c r="F201" i="21"/>
  <c r="F125" i="7"/>
  <c r="F123" i="21"/>
  <c r="F149" i="7"/>
  <c r="J149" i="7" s="1"/>
  <c r="F112" i="21"/>
  <c r="F174" i="7"/>
  <c r="F125" i="21"/>
  <c r="F219" i="7"/>
  <c r="J219" i="7" s="1"/>
  <c r="F207" i="21"/>
  <c r="F233" i="7"/>
  <c r="F36" i="21"/>
  <c r="F248" i="7"/>
  <c r="F25" i="21"/>
  <c r="F325" i="7"/>
  <c r="F167" i="21"/>
  <c r="F341" i="7"/>
  <c r="F40" i="21"/>
  <c r="F368" i="7"/>
  <c r="F42" i="21"/>
  <c r="F24" i="13"/>
  <c r="J24" i="13" s="1"/>
  <c r="F10" i="21"/>
  <c r="F50" i="7"/>
  <c r="F11" i="21"/>
  <c r="F198" i="21"/>
  <c r="F75" i="7"/>
  <c r="F200" i="21"/>
  <c r="F113" i="7"/>
  <c r="F110" i="21"/>
  <c r="F135" i="7"/>
  <c r="F163" i="21"/>
  <c r="F150" i="7"/>
  <c r="F18" i="21"/>
  <c r="F175" i="7"/>
  <c r="F35" i="21"/>
  <c r="F220" i="7"/>
  <c r="F126" i="21"/>
  <c r="F245" i="7"/>
  <c r="J245" i="7" s="1"/>
  <c r="F116" i="21"/>
  <c r="F259" i="7"/>
  <c r="F127" i="21"/>
  <c r="F273" i="7"/>
  <c r="J273" i="7" s="1"/>
  <c r="F162" i="21"/>
  <c r="F301" i="7"/>
  <c r="F211" i="21"/>
  <c r="F326" i="7"/>
  <c r="F39" i="21"/>
  <c r="F342" i="7"/>
  <c r="F212" i="21"/>
  <c r="F354" i="7"/>
  <c r="F130" i="21"/>
  <c r="F366" i="7"/>
  <c r="J366" i="7" s="1"/>
  <c r="F29" i="21"/>
  <c r="F25" i="13"/>
  <c r="J25" i="13" s="1"/>
  <c r="F196" i="21"/>
  <c r="F51" i="7"/>
  <c r="F197" i="21"/>
  <c r="F109" i="21"/>
  <c r="F123" i="7"/>
  <c r="F158" i="21"/>
  <c r="F151" i="7"/>
  <c r="F159" i="21"/>
  <c r="F202" i="7"/>
  <c r="F115" i="21"/>
  <c r="F231" i="7"/>
  <c r="F165" i="21"/>
  <c r="F246" i="7"/>
  <c r="F121" i="21"/>
  <c r="F339" i="7"/>
  <c r="F41" i="21"/>
  <c r="F22" i="13"/>
  <c r="J22" i="13" s="1"/>
  <c r="F28" i="21"/>
  <c r="F26" i="13"/>
  <c r="J26" i="13" s="1"/>
  <c r="F133" i="21"/>
  <c r="F106" i="21"/>
  <c r="F73" i="7"/>
  <c r="F108" i="21"/>
  <c r="F111" i="7"/>
  <c r="F15" i="21"/>
  <c r="F124" i="7"/>
  <c r="F202" i="21"/>
  <c r="F137" i="7"/>
  <c r="F33" i="21"/>
  <c r="F152" i="7"/>
  <c r="F124" i="21"/>
  <c r="F200" i="7"/>
  <c r="J200" i="7" s="1"/>
  <c r="F34" i="21"/>
  <c r="F203" i="7"/>
  <c r="F206" i="21"/>
  <c r="F216" i="7"/>
  <c r="F21" i="21"/>
  <c r="F232" i="7"/>
  <c r="F160" i="21"/>
  <c r="F247" i="7"/>
  <c r="F119" i="21"/>
  <c r="F324" i="7"/>
  <c r="F129" i="21"/>
  <c r="F340" i="7"/>
  <c r="J340" i="7" s="1"/>
  <c r="F24" i="7"/>
  <c r="C16" i="9"/>
  <c r="L26" i="26" l="1"/>
  <c r="M25" i="26"/>
  <c r="F51" i="13"/>
  <c r="J51" i="13" s="1"/>
  <c r="J99" i="7"/>
  <c r="J129" i="21"/>
  <c r="M129" i="21"/>
  <c r="M160" i="21"/>
  <c r="J160" i="21"/>
  <c r="J206" i="21"/>
  <c r="M206" i="21"/>
  <c r="L206" i="21"/>
  <c r="J124" i="21"/>
  <c r="M124" i="21"/>
  <c r="L124" i="21"/>
  <c r="J202" i="21"/>
  <c r="M202" i="21"/>
  <c r="L202" i="21"/>
  <c r="J108" i="21"/>
  <c r="L108" i="21"/>
  <c r="M108" i="21"/>
  <c r="L133" i="21"/>
  <c r="J133" i="21"/>
  <c r="M133" i="21"/>
  <c r="M41" i="21"/>
  <c r="J41" i="21"/>
  <c r="L41" i="21"/>
  <c r="L162" i="21"/>
  <c r="M165" i="21"/>
  <c r="L165" i="21"/>
  <c r="J165" i="21"/>
  <c r="L159" i="21"/>
  <c r="M159" i="21"/>
  <c r="J159" i="21"/>
  <c r="L109" i="21"/>
  <c r="M109" i="21"/>
  <c r="J109" i="21"/>
  <c r="M196" i="21"/>
  <c r="J196" i="21"/>
  <c r="L196" i="21"/>
  <c r="J130" i="21"/>
  <c r="M130" i="21"/>
  <c r="L130" i="21"/>
  <c r="M39" i="21"/>
  <c r="J39" i="21"/>
  <c r="L39" i="21"/>
  <c r="M162" i="21"/>
  <c r="J162" i="21"/>
  <c r="J116" i="21"/>
  <c r="M116" i="21"/>
  <c r="L116" i="21"/>
  <c r="J35" i="21"/>
  <c r="M35" i="21"/>
  <c r="L35" i="21"/>
  <c r="L163" i="21"/>
  <c r="J163" i="21"/>
  <c r="M163" i="21"/>
  <c r="L200" i="21"/>
  <c r="M200" i="21"/>
  <c r="J200" i="21"/>
  <c r="L11" i="21"/>
  <c r="M11" i="21"/>
  <c r="J11" i="21"/>
  <c r="M42" i="21"/>
  <c r="L42" i="21"/>
  <c r="J42" i="21"/>
  <c r="M167" i="21"/>
  <c r="L167" i="21"/>
  <c r="J167" i="21"/>
  <c r="L36" i="21"/>
  <c r="M36" i="21"/>
  <c r="J36" i="21"/>
  <c r="J125" i="21"/>
  <c r="M125" i="21"/>
  <c r="L123" i="21"/>
  <c r="M123" i="21"/>
  <c r="J123" i="21"/>
  <c r="M14" i="21"/>
  <c r="J14" i="21"/>
  <c r="M105" i="21"/>
  <c r="J105" i="21"/>
  <c r="L105" i="21"/>
  <c r="M31" i="21"/>
  <c r="J31" i="21"/>
  <c r="L31" i="21"/>
  <c r="M120" i="21"/>
  <c r="J120" i="21"/>
  <c r="L120" i="21"/>
  <c r="M161" i="21"/>
  <c r="L161" i="21"/>
  <c r="J161" i="21"/>
  <c r="M20" i="21"/>
  <c r="L20" i="21"/>
  <c r="J20" i="21"/>
  <c r="L16" i="21"/>
  <c r="M16" i="21"/>
  <c r="J16" i="21"/>
  <c r="J195" i="21"/>
  <c r="L195" i="21"/>
  <c r="M195" i="21"/>
  <c r="M128" i="21"/>
  <c r="J128" i="21"/>
  <c r="L128" i="21"/>
  <c r="J166" i="21"/>
  <c r="M166" i="21"/>
  <c r="J164" i="21"/>
  <c r="M164" i="21"/>
  <c r="L164" i="21"/>
  <c r="J119" i="21"/>
  <c r="M119" i="21"/>
  <c r="L119" i="21"/>
  <c r="L21" i="21"/>
  <c r="M21" i="21"/>
  <c r="J21" i="21"/>
  <c r="M34" i="21"/>
  <c r="J34" i="21"/>
  <c r="L34" i="21"/>
  <c r="L33" i="21"/>
  <c r="J33" i="21"/>
  <c r="M33" i="21"/>
  <c r="M15" i="21"/>
  <c r="L15" i="21"/>
  <c r="J15" i="21"/>
  <c r="M106" i="21"/>
  <c r="J106" i="21"/>
  <c r="L106" i="21"/>
  <c r="J28" i="21"/>
  <c r="M28" i="21"/>
  <c r="L28" i="21"/>
  <c r="J121" i="21"/>
  <c r="L121" i="21"/>
  <c r="M121" i="21"/>
  <c r="M115" i="21"/>
  <c r="L115" i="21"/>
  <c r="J115" i="21"/>
  <c r="M158" i="21"/>
  <c r="L158" i="21"/>
  <c r="J158" i="21"/>
  <c r="L197" i="21"/>
  <c r="M197" i="21"/>
  <c r="J197" i="21"/>
  <c r="M29" i="21"/>
  <c r="L29" i="21"/>
  <c r="J29" i="21"/>
  <c r="J212" i="21"/>
  <c r="L212" i="21"/>
  <c r="M212" i="21"/>
  <c r="J211" i="21"/>
  <c r="M211" i="21"/>
  <c r="M127" i="21"/>
  <c r="J127" i="21"/>
  <c r="L126" i="21"/>
  <c r="J126" i="21"/>
  <c r="M126" i="21"/>
  <c r="L18" i="21"/>
  <c r="M18" i="21"/>
  <c r="J18" i="21"/>
  <c r="L110" i="21"/>
  <c r="J110" i="21"/>
  <c r="M110" i="21"/>
  <c r="J198" i="21"/>
  <c r="M198" i="21"/>
  <c r="L198" i="21"/>
  <c r="M10" i="21"/>
  <c r="J10" i="21"/>
  <c r="L40" i="21"/>
  <c r="J40" i="21"/>
  <c r="M40" i="21"/>
  <c r="L25" i="21"/>
  <c r="M25" i="21"/>
  <c r="J25" i="21"/>
  <c r="M207" i="21"/>
  <c r="L207" i="21"/>
  <c r="J207" i="21"/>
  <c r="J112" i="21"/>
  <c r="M112" i="21"/>
  <c r="L112" i="21"/>
  <c r="J201" i="21"/>
  <c r="M201" i="21"/>
  <c r="L201" i="21"/>
  <c r="M12" i="21"/>
  <c r="L12" i="21"/>
  <c r="J12" i="21"/>
  <c r="M104" i="21"/>
  <c r="J104" i="21"/>
  <c r="L104" i="21"/>
  <c r="J168" i="21"/>
  <c r="M168" i="21"/>
  <c r="J38" i="21"/>
  <c r="L38" i="21"/>
  <c r="M38" i="21"/>
  <c r="M22" i="21"/>
  <c r="L22" i="21"/>
  <c r="J22" i="21"/>
  <c r="M204" i="21"/>
  <c r="L204" i="21"/>
  <c r="J204" i="21"/>
  <c r="M122" i="21"/>
  <c r="J122" i="21"/>
  <c r="L122" i="21"/>
  <c r="L26" i="21"/>
  <c r="M26" i="21"/>
  <c r="J26" i="21"/>
  <c r="L208" i="21"/>
  <c r="M208" i="21"/>
  <c r="J208" i="21"/>
  <c r="L37" i="21"/>
  <c r="M37" i="21"/>
  <c r="J37" i="21"/>
  <c r="M114" i="21"/>
  <c r="J114" i="21"/>
  <c r="L114" i="21"/>
  <c r="L27" i="26" l="1"/>
  <c r="M26" i="26"/>
  <c r="K122" i="21"/>
  <c r="J21" i="13"/>
  <c r="L28" i="26" l="1"/>
  <c r="M27" i="26"/>
  <c r="J21" i="7"/>
  <c r="E715" i="3"/>
  <c r="N715" i="3" s="1"/>
  <c r="N714" i="3" s="1"/>
  <c r="L29" i="26" l="1"/>
  <c r="M28" i="26"/>
  <c r="F229" i="21"/>
  <c r="F333" i="7"/>
  <c r="N71" i="3"/>
  <c r="N70" i="3" s="1"/>
  <c r="N68" i="3"/>
  <c r="N67" i="3" s="1"/>
  <c r="N205" i="3"/>
  <c r="N204" i="3" s="1"/>
  <c r="N202" i="3"/>
  <c r="N201" i="3" s="1"/>
  <c r="L30" i="26" l="1"/>
  <c r="M29" i="26"/>
  <c r="F32" i="21"/>
  <c r="F101" i="7"/>
  <c r="L229" i="21"/>
  <c r="M229" i="21"/>
  <c r="J229" i="21"/>
  <c r="F9" i="21"/>
  <c r="F38" i="7"/>
  <c r="F103" i="21"/>
  <c r="F37" i="7"/>
  <c r="F157" i="21"/>
  <c r="F100" i="7"/>
  <c r="G612" i="3"/>
  <c r="N612" i="3" s="1"/>
  <c r="N611" i="3" s="1"/>
  <c r="G606" i="3"/>
  <c r="E388" i="3"/>
  <c r="N388" i="3" s="1"/>
  <c r="N387" i="3" s="1"/>
  <c r="G382" i="3"/>
  <c r="G340" i="3"/>
  <c r="N340" i="3" s="1"/>
  <c r="N339" i="3" s="1"/>
  <c r="G334" i="3"/>
  <c r="E168" i="3"/>
  <c r="N168" i="3" s="1"/>
  <c r="N167" i="3" s="1"/>
  <c r="G162" i="3"/>
  <c r="L31" i="26" l="1"/>
  <c r="M30" i="26"/>
  <c r="J37" i="7"/>
  <c r="F35" i="13"/>
  <c r="J35" i="13" s="1"/>
  <c r="F203" i="21"/>
  <c r="F164" i="7"/>
  <c r="L9" i="21"/>
  <c r="M9" i="21"/>
  <c r="J9" i="21"/>
  <c r="F209" i="21"/>
  <c r="F287" i="7"/>
  <c r="M32" i="21"/>
  <c r="J32" i="21"/>
  <c r="L32" i="21"/>
  <c r="F205" i="21"/>
  <c r="F188" i="7"/>
  <c r="M157" i="21"/>
  <c r="J157" i="21"/>
  <c r="L157" i="21"/>
  <c r="F199" i="21"/>
  <c r="F87" i="7"/>
  <c r="M103" i="21"/>
  <c r="L103" i="21"/>
  <c r="J103" i="21"/>
  <c r="G609" i="3"/>
  <c r="N609" i="3" s="1"/>
  <c r="N608" i="3" s="1"/>
  <c r="N606" i="3"/>
  <c r="N605" i="3" s="1"/>
  <c r="G385" i="3"/>
  <c r="N385" i="3" s="1"/>
  <c r="N384" i="3" s="1"/>
  <c r="N382" i="3"/>
  <c r="N381" i="3" s="1"/>
  <c r="G337" i="3"/>
  <c r="N337" i="3" s="1"/>
  <c r="N336" i="3" s="1"/>
  <c r="N334" i="3"/>
  <c r="N333" i="3" s="1"/>
  <c r="G165" i="3"/>
  <c r="N165" i="3" s="1"/>
  <c r="N164" i="3" s="1"/>
  <c r="N162" i="3"/>
  <c r="N161" i="3" s="1"/>
  <c r="H317" i="8"/>
  <c r="E757" i="3" s="1"/>
  <c r="N757" i="3" s="1"/>
  <c r="N756" i="3" s="1"/>
  <c r="H304" i="8"/>
  <c r="E690" i="3" s="1"/>
  <c r="N690" i="3" s="1"/>
  <c r="N689" i="3" s="1"/>
  <c r="H291" i="8"/>
  <c r="E667" i="3" s="1"/>
  <c r="N667" i="3" s="1"/>
  <c r="N666" i="3" s="1"/>
  <c r="H281" i="8"/>
  <c r="E603" i="3" s="1"/>
  <c r="N603" i="3" s="1"/>
  <c r="N602" i="3" s="1"/>
  <c r="H263" i="8"/>
  <c r="E542" i="3" s="1"/>
  <c r="N542" i="3" s="1"/>
  <c r="N541" i="3" s="1"/>
  <c r="H247" i="8"/>
  <c r="E476" i="3" s="1"/>
  <c r="N476" i="3" s="1"/>
  <c r="N475" i="3" s="1"/>
  <c r="H171" i="8"/>
  <c r="E444" i="3" s="1"/>
  <c r="N444" i="3" s="1"/>
  <c r="N443" i="3" s="1"/>
  <c r="H143" i="8"/>
  <c r="H133" i="8"/>
  <c r="E379" i="3" s="1"/>
  <c r="N379" i="3" s="1"/>
  <c r="N378" i="3" s="1"/>
  <c r="H116" i="8"/>
  <c r="E355" i="3" s="1"/>
  <c r="N355" i="3" s="1"/>
  <c r="N354" i="3" s="1"/>
  <c r="H107" i="8"/>
  <c r="E332" i="3" s="1"/>
  <c r="N332" i="3" s="1"/>
  <c r="N331" i="3" s="1"/>
  <c r="H86" i="8"/>
  <c r="E268" i="3" s="1"/>
  <c r="N268" i="3" s="1"/>
  <c r="N267" i="3" s="1"/>
  <c r="H73" i="8"/>
  <c r="E244" i="3" s="1"/>
  <c r="N244" i="3" s="1"/>
  <c r="N243" i="3" s="1"/>
  <c r="H63" i="8"/>
  <c r="E220" i="3" s="1"/>
  <c r="N220" i="3" s="1"/>
  <c r="N219" i="3" s="1"/>
  <c r="H54" i="8"/>
  <c r="E159" i="3" s="1"/>
  <c r="N159" i="3" s="1"/>
  <c r="N158" i="3" s="1"/>
  <c r="H43" i="8"/>
  <c r="E136" i="3" s="1"/>
  <c r="N136" i="3" s="1"/>
  <c r="N135" i="3" s="1"/>
  <c r="H33" i="8"/>
  <c r="H25" i="8"/>
  <c r="E89" i="3" s="1"/>
  <c r="N89" i="3" s="1"/>
  <c r="N88" i="3" s="1"/>
  <c r="H18" i="8"/>
  <c r="E66" i="3" s="1"/>
  <c r="N66" i="3" s="1"/>
  <c r="N65" i="3" s="1"/>
  <c r="L32" i="26" l="1"/>
  <c r="M31" i="26"/>
  <c r="F137" i="21"/>
  <c r="F122" i="7"/>
  <c r="F144" i="21"/>
  <c r="F258" i="7"/>
  <c r="F17" i="21"/>
  <c r="F163" i="7"/>
  <c r="J209" i="21"/>
  <c r="L209" i="21"/>
  <c r="M209" i="21"/>
  <c r="F134" i="21"/>
  <c r="F72" i="7"/>
  <c r="F145" i="21"/>
  <c r="F284" i="7"/>
  <c r="F113" i="21"/>
  <c r="F186" i="7"/>
  <c r="L203" i="21"/>
  <c r="J203" i="21"/>
  <c r="M203" i="21"/>
  <c r="F131" i="21"/>
  <c r="F36" i="7"/>
  <c r="F135" i="21"/>
  <c r="F84" i="7"/>
  <c r="F139" i="21"/>
  <c r="F161" i="7"/>
  <c r="F142" i="21"/>
  <c r="F213" i="7"/>
  <c r="F311" i="7"/>
  <c r="F146" i="21"/>
  <c r="F13" i="21"/>
  <c r="F86" i="7"/>
  <c r="F19" i="21"/>
  <c r="F187" i="7"/>
  <c r="J199" i="21"/>
  <c r="M199" i="21"/>
  <c r="L199" i="21"/>
  <c r="F141" i="21"/>
  <c r="F185" i="7"/>
  <c r="F148" i="21"/>
  <c r="F351" i="7"/>
  <c r="J351" i="7" s="1"/>
  <c r="F23" i="21"/>
  <c r="F286" i="7"/>
  <c r="F138" i="21"/>
  <c r="F134" i="7"/>
  <c r="F107" i="21"/>
  <c r="F85" i="7"/>
  <c r="F132" i="21"/>
  <c r="F48" i="7"/>
  <c r="F136" i="21"/>
  <c r="F110" i="7"/>
  <c r="F140" i="21"/>
  <c r="F173" i="7"/>
  <c r="F143" i="21"/>
  <c r="F230" i="7"/>
  <c r="F147" i="21"/>
  <c r="F323" i="7"/>
  <c r="F111" i="21"/>
  <c r="F162" i="7"/>
  <c r="F117" i="21"/>
  <c r="F285" i="7"/>
  <c r="M205" i="21"/>
  <c r="L205" i="21"/>
  <c r="J205" i="21"/>
  <c r="L33" i="26" l="1"/>
  <c r="M32" i="26"/>
  <c r="F34" i="13"/>
  <c r="J34" i="13" s="1"/>
  <c r="J36" i="7"/>
  <c r="L111" i="21"/>
  <c r="J111" i="21"/>
  <c r="M111" i="21"/>
  <c r="J143" i="21"/>
  <c r="M143" i="21"/>
  <c r="L143" i="21"/>
  <c r="M134" i="21"/>
  <c r="J134" i="21"/>
  <c r="L134" i="21"/>
  <c r="L142" i="21"/>
  <c r="M142" i="21"/>
  <c r="J142" i="21"/>
  <c r="L17" i="21"/>
  <c r="M17" i="21"/>
  <c r="J17" i="21"/>
  <c r="M137" i="21"/>
  <c r="J137" i="21"/>
  <c r="L137" i="21"/>
  <c r="J117" i="21"/>
  <c r="M117" i="21"/>
  <c r="L117" i="21"/>
  <c r="L147" i="21"/>
  <c r="J147" i="21"/>
  <c r="M147" i="21"/>
  <c r="J140" i="21"/>
  <c r="M140" i="21"/>
  <c r="L140" i="21"/>
  <c r="M132" i="21"/>
  <c r="J132" i="21"/>
  <c r="L132" i="21"/>
  <c r="J146" i="21"/>
  <c r="M146" i="21"/>
  <c r="L146" i="21"/>
  <c r="J145" i="21"/>
  <c r="M145" i="21"/>
  <c r="L145" i="21"/>
  <c r="M113" i="21"/>
  <c r="L113" i="21"/>
  <c r="J113" i="21"/>
  <c r="J107" i="21"/>
  <c r="L107" i="21"/>
  <c r="M107" i="21"/>
  <c r="M23" i="21"/>
  <c r="L23" i="21"/>
  <c r="J23" i="21"/>
  <c r="J141" i="21"/>
  <c r="M141" i="21"/>
  <c r="L141" i="21"/>
  <c r="M13" i="21"/>
  <c r="L13" i="21"/>
  <c r="J13" i="21"/>
  <c r="J135" i="21"/>
  <c r="L135" i="21"/>
  <c r="M135" i="21"/>
  <c r="M138" i="21"/>
  <c r="J138" i="21"/>
  <c r="J148" i="21"/>
  <c r="M148" i="21"/>
  <c r="L148" i="21"/>
  <c r="L19" i="21"/>
  <c r="M19" i="21"/>
  <c r="J19" i="21"/>
  <c r="M139" i="21"/>
  <c r="J139" i="21"/>
  <c r="L139" i="21"/>
  <c r="L131" i="21"/>
  <c r="M131" i="21"/>
  <c r="J131" i="21"/>
  <c r="L168" i="21"/>
  <c r="M144" i="21"/>
  <c r="L144" i="21"/>
  <c r="J144" i="21"/>
  <c r="M136" i="21"/>
  <c r="J136" i="21"/>
  <c r="N15" i="3"/>
  <c r="C58" i="9"/>
  <c r="U58" i="9" s="1"/>
  <c r="C57" i="9"/>
  <c r="Q58" i="9"/>
  <c r="Z58" i="9" s="1"/>
  <c r="Q57" i="9"/>
  <c r="Q55" i="9"/>
  <c r="AB54" i="9"/>
  <c r="Q54" i="9"/>
  <c r="C55" i="9"/>
  <c r="U55" i="9" s="1"/>
  <c r="C54" i="9"/>
  <c r="AB53" i="9"/>
  <c r="X53" i="9"/>
  <c r="U53" i="9"/>
  <c r="Q53" i="9"/>
  <c r="Z53" i="9" s="1"/>
  <c r="F53" i="9"/>
  <c r="L34" i="26" l="1"/>
  <c r="M33" i="26"/>
  <c r="C59" i="9"/>
  <c r="E770" i="3" s="1"/>
  <c r="N770" i="3" s="1"/>
  <c r="N769" i="3" s="1"/>
  <c r="F36" i="13"/>
  <c r="J36" i="13" s="1"/>
  <c r="X54" i="9"/>
  <c r="E712" i="3"/>
  <c r="N712" i="3" s="1"/>
  <c r="N711" i="3" s="1"/>
  <c r="X55" i="9"/>
  <c r="C56" i="9"/>
  <c r="E702" i="3" s="1"/>
  <c r="N702" i="3" s="1"/>
  <c r="N701" i="3" s="1"/>
  <c r="Z57" i="9"/>
  <c r="Z59" i="9" s="1"/>
  <c r="G794" i="3" s="1"/>
  <c r="N794" i="3" s="1"/>
  <c r="N793" i="3" s="1"/>
  <c r="X58" i="9"/>
  <c r="V58" i="9"/>
  <c r="X57" i="9"/>
  <c r="U57" i="9"/>
  <c r="U59" i="9" s="1"/>
  <c r="M773" i="3" s="1"/>
  <c r="N773" i="3" s="1"/>
  <c r="N772" i="3" s="1"/>
  <c r="V57" i="9"/>
  <c r="V59" i="9" s="1"/>
  <c r="M776" i="3" s="1"/>
  <c r="N776" i="3" s="1"/>
  <c r="N775" i="3" s="1"/>
  <c r="Z54" i="9"/>
  <c r="Z55" i="9"/>
  <c r="U54" i="9"/>
  <c r="U56" i="9" s="1"/>
  <c r="M705" i="3" s="1"/>
  <c r="N705" i="3" s="1"/>
  <c r="N704" i="3" s="1"/>
  <c r="V55" i="9"/>
  <c r="V54" i="9"/>
  <c r="V53" i="9"/>
  <c r="L35" i="26" l="1"/>
  <c r="M34" i="26"/>
  <c r="E779" i="3"/>
  <c r="N779" i="3" s="1"/>
  <c r="N778" i="3" s="1"/>
  <c r="F360" i="7" s="1"/>
  <c r="F58" i="21"/>
  <c r="F365" i="7"/>
  <c r="F246" i="21"/>
  <c r="F358" i="7"/>
  <c r="F155" i="21"/>
  <c r="F329" i="7"/>
  <c r="F230" i="21"/>
  <c r="F245" i="21"/>
  <c r="F330" i="7"/>
  <c r="Z56" i="9"/>
  <c r="G730" i="3" s="1"/>
  <c r="N730" i="3" s="1"/>
  <c r="N729" i="3" s="1"/>
  <c r="X56" i="9"/>
  <c r="M718" i="3" s="1"/>
  <c r="N718" i="3" s="1"/>
  <c r="N717" i="3" s="1"/>
  <c r="F156" i="21"/>
  <c r="F357" i="7"/>
  <c r="F238" i="21"/>
  <c r="F359" i="7"/>
  <c r="F222" i="21"/>
  <c r="F332" i="7"/>
  <c r="X59" i="9"/>
  <c r="W55" i="9"/>
  <c r="Y55" i="9" s="1"/>
  <c r="W58" i="9"/>
  <c r="Y58" i="9" s="1"/>
  <c r="W53" i="9"/>
  <c r="V56" i="9"/>
  <c r="M708" i="3" s="1"/>
  <c r="N708" i="3" s="1"/>
  <c r="N707" i="3" s="1"/>
  <c r="W57" i="9"/>
  <c r="W54" i="9"/>
  <c r="Y54" i="9" s="1"/>
  <c r="L36" i="26" l="1"/>
  <c r="M35" i="26"/>
  <c r="F50" i="21"/>
  <c r="F334" i="7"/>
  <c r="L238" i="21"/>
  <c r="J238" i="21"/>
  <c r="M238" i="21"/>
  <c r="F43" i="21"/>
  <c r="F338" i="7"/>
  <c r="J230" i="21"/>
  <c r="L230" i="21"/>
  <c r="M230" i="21"/>
  <c r="L246" i="21"/>
  <c r="J246" i="21"/>
  <c r="M246" i="21"/>
  <c r="F237" i="21"/>
  <c r="F331" i="7"/>
  <c r="M222" i="21"/>
  <c r="J222" i="21"/>
  <c r="L222" i="21"/>
  <c r="L156" i="21"/>
  <c r="M156" i="21"/>
  <c r="J156" i="21"/>
  <c r="L245" i="21"/>
  <c r="J245" i="21"/>
  <c r="M245" i="21"/>
  <c r="J155" i="21"/>
  <c r="M155" i="21"/>
  <c r="L155" i="21"/>
  <c r="L58" i="21"/>
  <c r="J58" i="21"/>
  <c r="M58" i="21"/>
  <c r="Y57" i="9"/>
  <c r="Y59" i="9" s="1"/>
  <c r="M788" i="3" s="1"/>
  <c r="W59" i="9"/>
  <c r="M785" i="3" s="1"/>
  <c r="N785" i="3" s="1"/>
  <c r="N784" i="3" s="1"/>
  <c r="Y53" i="9"/>
  <c r="Y56" i="9" s="1"/>
  <c r="M724" i="3" s="1"/>
  <c r="W56" i="9"/>
  <c r="M721" i="3" s="1"/>
  <c r="N721" i="3" s="1"/>
  <c r="N720" i="3" s="1"/>
  <c r="L37" i="26" l="1"/>
  <c r="M36" i="26"/>
  <c r="L43" i="21"/>
  <c r="J43" i="21"/>
  <c r="M43" i="21"/>
  <c r="M50" i="21"/>
  <c r="L50" i="21"/>
  <c r="J50" i="21"/>
  <c r="F220" i="21"/>
  <c r="F362" i="7"/>
  <c r="M791" i="3"/>
  <c r="N790" i="3" s="1"/>
  <c r="N788" i="3"/>
  <c r="N787" i="3" s="1"/>
  <c r="F219" i="21"/>
  <c r="F335" i="7"/>
  <c r="L237" i="21"/>
  <c r="J237" i="21"/>
  <c r="M237" i="21"/>
  <c r="M727" i="3"/>
  <c r="N726" i="3" s="1"/>
  <c r="N724" i="3"/>
  <c r="N723" i="3" s="1"/>
  <c r="AB51" i="9"/>
  <c r="Q51" i="9"/>
  <c r="AB50" i="9"/>
  <c r="Q50" i="9"/>
  <c r="C51" i="9"/>
  <c r="X51" i="9" s="1"/>
  <c r="C50" i="9"/>
  <c r="X50" i="9" s="1"/>
  <c r="C26" i="9"/>
  <c r="U26" i="9" s="1"/>
  <c r="C27" i="9"/>
  <c r="C28" i="9"/>
  <c r="U28" i="9" s="1"/>
  <c r="C29" i="9"/>
  <c r="X29" i="9" s="1"/>
  <c r="C30" i="9"/>
  <c r="C31" i="9"/>
  <c r="C32" i="9"/>
  <c r="X32" i="9" s="1"/>
  <c r="C33" i="9"/>
  <c r="X33" i="9" s="1"/>
  <c r="C34" i="9"/>
  <c r="X34" i="9" s="1"/>
  <c r="C35" i="9"/>
  <c r="C36" i="9"/>
  <c r="X36" i="9" s="1"/>
  <c r="C37" i="9"/>
  <c r="X37" i="9" s="1"/>
  <c r="C38" i="9"/>
  <c r="X38" i="9" s="1"/>
  <c r="C39" i="9"/>
  <c r="C40" i="9"/>
  <c r="X40" i="9" s="1"/>
  <c r="C41" i="9"/>
  <c r="X41" i="9" s="1"/>
  <c r="C23" i="9"/>
  <c r="C24" i="9"/>
  <c r="C25" i="9"/>
  <c r="C22" i="9"/>
  <c r="C21" i="9"/>
  <c r="U21" i="9" s="1"/>
  <c r="Q37" i="9"/>
  <c r="Q38" i="9"/>
  <c r="Q39" i="9"/>
  <c r="V39" i="9" s="1"/>
  <c r="U39" i="9"/>
  <c r="X39" i="9"/>
  <c r="Q40" i="9"/>
  <c r="V40" i="9" s="1"/>
  <c r="AB40" i="9"/>
  <c r="Q41" i="9"/>
  <c r="AB41" i="9"/>
  <c r="U31" i="9"/>
  <c r="Q31" i="9"/>
  <c r="V31" i="9" s="1"/>
  <c r="X31" i="9"/>
  <c r="Q32" i="9"/>
  <c r="Q33" i="9"/>
  <c r="V33" i="9" s="1"/>
  <c r="Q34" i="9"/>
  <c r="U34" i="9"/>
  <c r="U35" i="9"/>
  <c r="Q35" i="9"/>
  <c r="V35" i="9" s="1"/>
  <c r="X35" i="9"/>
  <c r="Q36" i="9"/>
  <c r="Q30" i="9"/>
  <c r="Q29" i="9"/>
  <c r="Q28" i="9"/>
  <c r="Q27" i="9"/>
  <c r="Z27" i="9" s="1"/>
  <c r="Q26" i="9"/>
  <c r="Q25" i="9"/>
  <c r="Q24" i="9"/>
  <c r="Z24" i="9" s="1"/>
  <c r="U24" i="9"/>
  <c r="Q23" i="9"/>
  <c r="Q22" i="9"/>
  <c r="Q44" i="9"/>
  <c r="AB44" i="9"/>
  <c r="Q45" i="9"/>
  <c r="AB45" i="9"/>
  <c r="Q46" i="9"/>
  <c r="AB46" i="9"/>
  <c r="Q47" i="9"/>
  <c r="AB47" i="9"/>
  <c r="Q48" i="9"/>
  <c r="AB48" i="9"/>
  <c r="AB43" i="9"/>
  <c r="Q43" i="9"/>
  <c r="C48" i="9"/>
  <c r="V48" i="9" s="1"/>
  <c r="C47" i="9"/>
  <c r="U47" i="9" s="1"/>
  <c r="C46" i="9"/>
  <c r="X46" i="9" s="1"/>
  <c r="C45" i="9"/>
  <c r="X45" i="9" s="1"/>
  <c r="C44" i="9"/>
  <c r="X44" i="9" s="1"/>
  <c r="C43" i="9"/>
  <c r="Q21" i="9"/>
  <c r="C19" i="9"/>
  <c r="X19" i="9" s="1"/>
  <c r="C18" i="9"/>
  <c r="X18" i="9" s="1"/>
  <c r="AB19" i="9"/>
  <c r="Q19" i="9"/>
  <c r="AB18" i="9"/>
  <c r="Q18" i="9"/>
  <c r="C15" i="9"/>
  <c r="X15" i="9" s="1"/>
  <c r="AB16" i="9"/>
  <c r="Q16" i="9"/>
  <c r="U16" i="9"/>
  <c r="AB15" i="9"/>
  <c r="Q15" i="9"/>
  <c r="C13" i="9"/>
  <c r="X13" i="9" s="1"/>
  <c r="C12" i="9"/>
  <c r="X12" i="9" s="1"/>
  <c r="AB13" i="9"/>
  <c r="Q13" i="9"/>
  <c r="AB12" i="9"/>
  <c r="U12" i="9"/>
  <c r="Q12" i="9"/>
  <c r="L38" i="26" l="1"/>
  <c r="M37" i="26"/>
  <c r="Z28" i="9"/>
  <c r="J220" i="21"/>
  <c r="M220" i="21"/>
  <c r="L220" i="21"/>
  <c r="F100" i="21"/>
  <c r="F336" i="7"/>
  <c r="L219" i="21"/>
  <c r="M219" i="21"/>
  <c r="J219" i="21"/>
  <c r="F102" i="21"/>
  <c r="F363" i="7"/>
  <c r="F175" i="21"/>
  <c r="F337" i="7"/>
  <c r="J337" i="7" s="1"/>
  <c r="F176" i="21"/>
  <c r="F364" i="7"/>
  <c r="J364" i="7" s="1"/>
  <c r="U51" i="9"/>
  <c r="V34" i="9"/>
  <c r="W34" i="9" s="1"/>
  <c r="Y34" i="9" s="1"/>
  <c r="C52" i="9"/>
  <c r="V38" i="9"/>
  <c r="Z23" i="9"/>
  <c r="Z26" i="9"/>
  <c r="Z30" i="9"/>
  <c r="Z25" i="9"/>
  <c r="X28" i="9"/>
  <c r="U50" i="9"/>
  <c r="Z29" i="9"/>
  <c r="X52" i="9"/>
  <c r="M628" i="3" s="1"/>
  <c r="N628" i="3" s="1"/>
  <c r="N627" i="3" s="1"/>
  <c r="Z33" i="9"/>
  <c r="V37" i="9"/>
  <c r="U33" i="9"/>
  <c r="W33" i="9" s="1"/>
  <c r="Y33" i="9" s="1"/>
  <c r="V41" i="9"/>
  <c r="Z50" i="9"/>
  <c r="Z51" i="9"/>
  <c r="V51" i="9"/>
  <c r="V50" i="9"/>
  <c r="U37" i="9"/>
  <c r="Z22" i="9"/>
  <c r="U38" i="9"/>
  <c r="C42" i="9"/>
  <c r="V26" i="9"/>
  <c r="W31" i="9"/>
  <c r="Y31" i="9" s="1"/>
  <c r="Z41" i="9"/>
  <c r="Z38" i="9"/>
  <c r="V24" i="9"/>
  <c r="Z37" i="9"/>
  <c r="W39" i="9"/>
  <c r="Y39" i="9" s="1"/>
  <c r="U41" i="9"/>
  <c r="Z40" i="9"/>
  <c r="U40" i="9"/>
  <c r="Z39" i="9"/>
  <c r="Z36" i="9"/>
  <c r="V36" i="9"/>
  <c r="W35" i="9"/>
  <c r="Y35" i="9" s="1"/>
  <c r="Z32" i="9"/>
  <c r="V32" i="9"/>
  <c r="U36" i="9"/>
  <c r="Z35" i="9"/>
  <c r="U32" i="9"/>
  <c r="Z31" i="9"/>
  <c r="Z34" i="9"/>
  <c r="U30" i="9"/>
  <c r="X30" i="9"/>
  <c r="V30" i="9"/>
  <c r="U29" i="9"/>
  <c r="V29" i="9"/>
  <c r="V28" i="9"/>
  <c r="U27" i="9"/>
  <c r="X27" i="9"/>
  <c r="V27" i="9"/>
  <c r="X26" i="9"/>
  <c r="X25" i="9"/>
  <c r="U25" i="9"/>
  <c r="V25" i="9"/>
  <c r="X24" i="9"/>
  <c r="U23" i="9"/>
  <c r="X23" i="9"/>
  <c r="V23" i="9"/>
  <c r="X22" i="9"/>
  <c r="U22" i="9"/>
  <c r="V22" i="9"/>
  <c r="Z47" i="9"/>
  <c r="V45" i="9"/>
  <c r="Z48" i="9"/>
  <c r="U44" i="9"/>
  <c r="U48" i="9"/>
  <c r="V44" i="9"/>
  <c r="Z46" i="9"/>
  <c r="C49" i="9"/>
  <c r="Z44" i="9"/>
  <c r="U43" i="9"/>
  <c r="X43" i="9"/>
  <c r="X48" i="9"/>
  <c r="V46" i="9"/>
  <c r="Z45" i="9"/>
  <c r="U45" i="9"/>
  <c r="X47" i="9"/>
  <c r="V47" i="9"/>
  <c r="U46" i="9"/>
  <c r="Z43" i="9"/>
  <c r="V43" i="9"/>
  <c r="Z19" i="9"/>
  <c r="U19" i="9"/>
  <c r="X21" i="9"/>
  <c r="Z21" i="9"/>
  <c r="Z42" i="9" s="1"/>
  <c r="G514" i="3" s="1"/>
  <c r="N514" i="3" s="1"/>
  <c r="N513" i="3" s="1"/>
  <c r="V21" i="9"/>
  <c r="U18" i="9"/>
  <c r="U20" i="9" s="1"/>
  <c r="M395" i="3" s="1"/>
  <c r="N395" i="3" s="1"/>
  <c r="N394" i="3" s="1"/>
  <c r="V18" i="9"/>
  <c r="C20" i="9"/>
  <c r="V19" i="9"/>
  <c r="Z18" i="9"/>
  <c r="Z12" i="9"/>
  <c r="X20" i="9"/>
  <c r="M404" i="3" s="1"/>
  <c r="N404" i="3" s="1"/>
  <c r="N403" i="3" s="1"/>
  <c r="Z15" i="9"/>
  <c r="U15" i="9"/>
  <c r="U17" i="9" s="1"/>
  <c r="Z16" i="9"/>
  <c r="X14" i="9"/>
  <c r="M184" i="3" s="1"/>
  <c r="N184" i="3" s="1"/>
  <c r="N183" i="3" s="1"/>
  <c r="Z13" i="9"/>
  <c r="X16" i="9"/>
  <c r="C17" i="9"/>
  <c r="V15" i="9"/>
  <c r="V16" i="9"/>
  <c r="U13" i="9"/>
  <c r="U14" i="9" s="1"/>
  <c r="M175" i="3" s="1"/>
  <c r="N175" i="3" s="1"/>
  <c r="N174" i="3" s="1"/>
  <c r="C14" i="9"/>
  <c r="V13" i="9"/>
  <c r="V12" i="9"/>
  <c r="L39" i="26" l="1"/>
  <c r="M38" i="26"/>
  <c r="U42" i="9"/>
  <c r="M492" i="3" s="1"/>
  <c r="N492" i="3" s="1"/>
  <c r="N491" i="3" s="1"/>
  <c r="M176" i="21"/>
  <c r="L176" i="21"/>
  <c r="J176" i="21"/>
  <c r="O102" i="21"/>
  <c r="P102" i="21" s="1"/>
  <c r="J102" i="21"/>
  <c r="L102" i="21"/>
  <c r="M102" i="21"/>
  <c r="F239" i="21"/>
  <c r="F91" i="7"/>
  <c r="F44" i="21"/>
  <c r="F94" i="7"/>
  <c r="F46" i="21"/>
  <c r="F195" i="7"/>
  <c r="F242" i="21"/>
  <c r="F237" i="7"/>
  <c r="O100" i="21"/>
  <c r="P100" i="21" s="1"/>
  <c r="J100" i="21"/>
  <c r="L100" i="21"/>
  <c r="M100" i="21"/>
  <c r="F55" i="21"/>
  <c r="F244" i="7"/>
  <c r="L175" i="21"/>
  <c r="M175" i="21"/>
  <c r="J175" i="21"/>
  <c r="F241" i="21"/>
  <c r="F192" i="7"/>
  <c r="F49" i="21"/>
  <c r="F294" i="7"/>
  <c r="E499" i="3"/>
  <c r="N499" i="3" s="1"/>
  <c r="N498" i="3" s="1"/>
  <c r="E489" i="3"/>
  <c r="N489" i="3" s="1"/>
  <c r="N488" i="3" s="1"/>
  <c r="V42" i="9"/>
  <c r="M495" i="3" s="1"/>
  <c r="N495" i="3" s="1"/>
  <c r="N494" i="3" s="1"/>
  <c r="M625" i="3"/>
  <c r="N625" i="3" s="1"/>
  <c r="N624" i="3" s="1"/>
  <c r="E616" i="3"/>
  <c r="N616" i="3" s="1"/>
  <c r="N615" i="3" s="1"/>
  <c r="E401" i="3"/>
  <c r="N401" i="3" s="1"/>
  <c r="N400" i="3" s="1"/>
  <c r="E392" i="3"/>
  <c r="N392" i="3" s="1"/>
  <c r="N391" i="3" s="1"/>
  <c r="E555" i="3"/>
  <c r="N555" i="3" s="1"/>
  <c r="N554" i="3" s="1"/>
  <c r="E564" i="3"/>
  <c r="N564" i="3" s="1"/>
  <c r="N563" i="3" s="1"/>
  <c r="E172" i="3"/>
  <c r="N172" i="3" s="1"/>
  <c r="N171" i="3" s="1"/>
  <c r="E181" i="3"/>
  <c r="N181" i="3" s="1"/>
  <c r="N180" i="3" s="1"/>
  <c r="X42" i="9"/>
  <c r="M502" i="3" s="1"/>
  <c r="N502" i="3" s="1"/>
  <c r="N501" i="3" s="1"/>
  <c r="W37" i="9"/>
  <c r="Y37" i="9" s="1"/>
  <c r="E280" i="3"/>
  <c r="N280" i="3" s="1"/>
  <c r="N279" i="3" s="1"/>
  <c r="E290" i="3"/>
  <c r="N290" i="3" s="1"/>
  <c r="N289" i="3" s="1"/>
  <c r="C60" i="9"/>
  <c r="M283" i="3"/>
  <c r="N283" i="3" s="1"/>
  <c r="N282" i="3" s="1"/>
  <c r="V52" i="9"/>
  <c r="M622" i="3" s="1"/>
  <c r="N622" i="3" s="1"/>
  <c r="N621" i="3" s="1"/>
  <c r="U52" i="9"/>
  <c r="M619" i="3" s="1"/>
  <c r="N619" i="3" s="1"/>
  <c r="N618" i="3" s="1"/>
  <c r="W38" i="9"/>
  <c r="Y38" i="9" s="1"/>
  <c r="Z52" i="9"/>
  <c r="G640" i="3" s="1"/>
  <c r="N640" i="3" s="1"/>
  <c r="N639" i="3" s="1"/>
  <c r="Z20" i="9"/>
  <c r="L416" i="3" s="1"/>
  <c r="N416" i="3" s="1"/>
  <c r="N415" i="3" s="1"/>
  <c r="W51" i="9"/>
  <c r="Y51" i="9" s="1"/>
  <c r="W50" i="9"/>
  <c r="Y50" i="9" s="1"/>
  <c r="W26" i="9"/>
  <c r="Y26" i="9" s="1"/>
  <c r="W24" i="9"/>
  <c r="Y24" i="9" s="1"/>
  <c r="W45" i="9"/>
  <c r="Y45" i="9" s="1"/>
  <c r="W27" i="9"/>
  <c r="Y27" i="9" s="1"/>
  <c r="W32" i="9"/>
  <c r="Y32" i="9" s="1"/>
  <c r="W19" i="9"/>
  <c r="Y19" i="9" s="1"/>
  <c r="W29" i="9"/>
  <c r="Y29" i="9" s="1"/>
  <c r="W23" i="9"/>
  <c r="Y23" i="9" s="1"/>
  <c r="W22" i="9"/>
  <c r="Y22" i="9" s="1"/>
  <c r="W25" i="9"/>
  <c r="Y25" i="9" s="1"/>
  <c r="W30" i="9"/>
  <c r="Y30" i="9" s="1"/>
  <c r="W40" i="9"/>
  <c r="Y40" i="9" s="1"/>
  <c r="W41" i="9"/>
  <c r="Y41" i="9" s="1"/>
  <c r="W36" i="9"/>
  <c r="Y36" i="9" s="1"/>
  <c r="W28" i="9"/>
  <c r="Y28" i="9" s="1"/>
  <c r="Z49" i="9"/>
  <c r="G579" i="3" s="1"/>
  <c r="N579" i="3" s="1"/>
  <c r="N578" i="3" s="1"/>
  <c r="W48" i="9"/>
  <c r="Y48" i="9" s="1"/>
  <c r="W44" i="9"/>
  <c r="Y44" i="9" s="1"/>
  <c r="W47" i="9"/>
  <c r="Y47" i="9" s="1"/>
  <c r="W46" i="9"/>
  <c r="Y46" i="9" s="1"/>
  <c r="X49" i="9"/>
  <c r="M567" i="3" s="1"/>
  <c r="N567" i="3" s="1"/>
  <c r="N566" i="3" s="1"/>
  <c r="U49" i="9"/>
  <c r="M558" i="3" s="1"/>
  <c r="N558" i="3" s="1"/>
  <c r="N557" i="3" s="1"/>
  <c r="W18" i="9"/>
  <c r="Y18" i="9" s="1"/>
  <c r="W43" i="9"/>
  <c r="V49" i="9"/>
  <c r="M561" i="3" s="1"/>
  <c r="N561" i="3" s="1"/>
  <c r="N560" i="3" s="1"/>
  <c r="W21" i="9"/>
  <c r="V20" i="9"/>
  <c r="M398" i="3" s="1"/>
  <c r="N398" i="3" s="1"/>
  <c r="N397" i="3" s="1"/>
  <c r="Z17" i="9"/>
  <c r="Z14" i="9"/>
  <c r="G196" i="3" s="1"/>
  <c r="N196" i="3" s="1"/>
  <c r="W16" i="9"/>
  <c r="Y16" i="9" s="1"/>
  <c r="X17" i="9"/>
  <c r="V17" i="9"/>
  <c r="W15" i="9"/>
  <c r="V14" i="9"/>
  <c r="M178" i="3" s="1"/>
  <c r="N178" i="3" s="1"/>
  <c r="N177" i="3" s="1"/>
  <c r="W13" i="9"/>
  <c r="Y13" i="9" s="1"/>
  <c r="W12" i="9"/>
  <c r="E268" i="8"/>
  <c r="E269" i="8"/>
  <c r="F269" i="8" s="1"/>
  <c r="I269" i="8" s="1"/>
  <c r="M532" i="3" s="1"/>
  <c r="N532" i="3" s="1"/>
  <c r="E270" i="8"/>
  <c r="E271" i="8"/>
  <c r="F271" i="8" s="1"/>
  <c r="I271" i="8" s="1"/>
  <c r="E272" i="8"/>
  <c r="E273" i="8"/>
  <c r="F273" i="8" s="1"/>
  <c r="E274" i="8"/>
  <c r="E275" i="8"/>
  <c r="F275" i="8" s="1"/>
  <c r="I275" i="8" s="1"/>
  <c r="E276" i="8"/>
  <c r="E277" i="8"/>
  <c r="F277" i="8" s="1"/>
  <c r="E278" i="8"/>
  <c r="E279" i="8"/>
  <c r="F279" i="8" s="1"/>
  <c r="I279" i="8" s="1"/>
  <c r="E280" i="8"/>
  <c r="E267" i="8"/>
  <c r="F267" i="8" s="1"/>
  <c r="I267" i="8" s="1"/>
  <c r="E266" i="8"/>
  <c r="E265" i="8"/>
  <c r="F278" i="8"/>
  <c r="I278" i="8" s="1"/>
  <c r="F280" i="8"/>
  <c r="J280" i="8" s="1"/>
  <c r="F266" i="8"/>
  <c r="I266" i="8" s="1"/>
  <c r="F268" i="8"/>
  <c r="J268" i="8" s="1"/>
  <c r="F270" i="8"/>
  <c r="I270" i="8" s="1"/>
  <c r="F272" i="8"/>
  <c r="J272" i="8" s="1"/>
  <c r="F274" i="8"/>
  <c r="I274" i="8" s="1"/>
  <c r="F276" i="8"/>
  <c r="J276" i="8" s="1"/>
  <c r="E283" i="8"/>
  <c r="F283" i="8" s="1"/>
  <c r="E284" i="8"/>
  <c r="F284" i="8" s="1"/>
  <c r="I284" i="8" s="1"/>
  <c r="E285" i="8"/>
  <c r="F285" i="8" s="1"/>
  <c r="E286" i="8"/>
  <c r="F286" i="8" s="1"/>
  <c r="I286" i="8" s="1"/>
  <c r="E287" i="8"/>
  <c r="F287" i="8" s="1"/>
  <c r="I287" i="8" s="1"/>
  <c r="E288" i="8"/>
  <c r="F288" i="8" s="1"/>
  <c r="E289" i="8"/>
  <c r="F289" i="8" s="1"/>
  <c r="E290" i="8"/>
  <c r="F290" i="8" s="1"/>
  <c r="E316" i="8"/>
  <c r="E315" i="8"/>
  <c r="E314" i="8"/>
  <c r="E313" i="8"/>
  <c r="E312" i="8"/>
  <c r="E311" i="8"/>
  <c r="E310" i="8"/>
  <c r="E309" i="8"/>
  <c r="E308" i="8"/>
  <c r="E307" i="8"/>
  <c r="E306" i="8"/>
  <c r="E303" i="8"/>
  <c r="E302" i="8"/>
  <c r="F302" i="8" s="1"/>
  <c r="J302" i="8" s="1"/>
  <c r="E301" i="8"/>
  <c r="E300" i="8"/>
  <c r="E299" i="8"/>
  <c r="E298" i="8"/>
  <c r="E297" i="8"/>
  <c r="F297" i="8" s="1"/>
  <c r="J297" i="8" s="1"/>
  <c r="E296" i="8"/>
  <c r="F296" i="8" s="1"/>
  <c r="J296" i="8" s="1"/>
  <c r="E295" i="8"/>
  <c r="F295" i="8" s="1"/>
  <c r="J295" i="8" s="1"/>
  <c r="E294" i="8"/>
  <c r="F294" i="8" s="1"/>
  <c r="J294" i="8" s="1"/>
  <c r="E293" i="8"/>
  <c r="E250" i="8"/>
  <c r="E251" i="8"/>
  <c r="E252" i="8"/>
  <c r="E253" i="8"/>
  <c r="E254" i="8"/>
  <c r="E255" i="8"/>
  <c r="E256" i="8"/>
  <c r="E257" i="8"/>
  <c r="F257" i="8" s="1"/>
  <c r="I257" i="8" s="1"/>
  <c r="E258" i="8"/>
  <c r="F258" i="8" s="1"/>
  <c r="J258" i="8" s="1"/>
  <c r="E259" i="8"/>
  <c r="F259" i="8" s="1"/>
  <c r="E260" i="8"/>
  <c r="F260" i="8" s="1"/>
  <c r="J260" i="8" s="1"/>
  <c r="E261" i="8"/>
  <c r="F261" i="8" s="1"/>
  <c r="I261" i="8" s="1"/>
  <c r="E262" i="8"/>
  <c r="E249" i="8"/>
  <c r="F256" i="8"/>
  <c r="I256" i="8" s="1"/>
  <c r="L40" i="26" l="1"/>
  <c r="M39" i="26"/>
  <c r="I268" i="8"/>
  <c r="I280" i="8"/>
  <c r="I276" i="8"/>
  <c r="J277" i="8"/>
  <c r="I277" i="8"/>
  <c r="J273" i="8"/>
  <c r="I273" i="8"/>
  <c r="M535" i="3"/>
  <c r="N531" i="3"/>
  <c r="F52" i="21"/>
  <c r="F98" i="7"/>
  <c r="F235" i="21"/>
  <c r="F266" i="7"/>
  <c r="F48" i="21"/>
  <c r="F268" i="7"/>
  <c r="F54" i="21"/>
  <c r="F199" i="7"/>
  <c r="F236" i="21"/>
  <c r="F292" i="7"/>
  <c r="F224" i="21"/>
  <c r="F143" i="7"/>
  <c r="F223" i="21"/>
  <c r="F93" i="7"/>
  <c r="F151" i="21"/>
  <c r="F191" i="7"/>
  <c r="F234" i="21"/>
  <c r="F238" i="7"/>
  <c r="M49" i="21"/>
  <c r="J49" i="21"/>
  <c r="J242" i="21"/>
  <c r="M242" i="21"/>
  <c r="L242" i="21"/>
  <c r="J44" i="21"/>
  <c r="L44" i="21"/>
  <c r="M44" i="21"/>
  <c r="F56" i="21"/>
  <c r="F272" i="7"/>
  <c r="F57" i="21"/>
  <c r="F298" i="7"/>
  <c r="U60" i="9"/>
  <c r="F150" i="21"/>
  <c r="F140" i="7"/>
  <c r="F149" i="21"/>
  <c r="F90" i="7"/>
  <c r="F225" i="21"/>
  <c r="F194" i="7"/>
  <c r="F152" i="21"/>
  <c r="F236" i="7"/>
  <c r="F233" i="21"/>
  <c r="F193" i="7"/>
  <c r="I272" i="8"/>
  <c r="F240" i="21"/>
  <c r="F141" i="7"/>
  <c r="F227" i="21"/>
  <c r="F267" i="7"/>
  <c r="F154" i="21"/>
  <c r="F290" i="7"/>
  <c r="F226" i="21"/>
  <c r="F239" i="7"/>
  <c r="L241" i="21"/>
  <c r="J241" i="21"/>
  <c r="M241" i="21"/>
  <c r="L127" i="21"/>
  <c r="M46" i="21"/>
  <c r="L46" i="21"/>
  <c r="J46" i="21"/>
  <c r="L239" i="21"/>
  <c r="J239" i="21"/>
  <c r="M239" i="21"/>
  <c r="F231" i="21"/>
  <c r="F92" i="7"/>
  <c r="F243" i="21"/>
  <c r="F265" i="7"/>
  <c r="F244" i="21"/>
  <c r="F291" i="7"/>
  <c r="F47" i="21"/>
  <c r="F240" i="7"/>
  <c r="F153" i="21"/>
  <c r="F264" i="7"/>
  <c r="F228" i="21"/>
  <c r="F293" i="7"/>
  <c r="L160" i="21"/>
  <c r="M55" i="21"/>
  <c r="J55" i="21"/>
  <c r="L55" i="21"/>
  <c r="W42" i="9"/>
  <c r="M505" i="3" s="1"/>
  <c r="N505" i="3" s="1"/>
  <c r="N504" i="3" s="1"/>
  <c r="G305" i="3"/>
  <c r="N305" i="3" s="1"/>
  <c r="N304" i="3" s="1"/>
  <c r="Z60" i="9"/>
  <c r="M293" i="3"/>
  <c r="N293" i="3" s="1"/>
  <c r="N292" i="3" s="1"/>
  <c r="X60" i="9"/>
  <c r="M782" i="3" s="1"/>
  <c r="N782" i="3" s="1"/>
  <c r="N781" i="3" s="1"/>
  <c r="M286" i="3"/>
  <c r="N286" i="3" s="1"/>
  <c r="N285" i="3" s="1"/>
  <c r="V60" i="9"/>
  <c r="Y52" i="9"/>
  <c r="M634" i="3" s="1"/>
  <c r="W52" i="9"/>
  <c r="M631" i="3" s="1"/>
  <c r="N631" i="3" s="1"/>
  <c r="N630" i="3" s="1"/>
  <c r="Y20" i="9"/>
  <c r="M410" i="3" s="1"/>
  <c r="W20" i="9"/>
  <c r="M407" i="3" s="1"/>
  <c r="N407" i="3" s="1"/>
  <c r="N406" i="3" s="1"/>
  <c r="W49" i="9"/>
  <c r="M570" i="3" s="1"/>
  <c r="N570" i="3" s="1"/>
  <c r="N569" i="3" s="1"/>
  <c r="Y43" i="9"/>
  <c r="Y49" i="9" s="1"/>
  <c r="M573" i="3" s="1"/>
  <c r="Y21" i="9"/>
  <c r="Y42" i="9" s="1"/>
  <c r="M508" i="3" s="1"/>
  <c r="W17" i="9"/>
  <c r="Y15" i="9"/>
  <c r="Y17" i="9" s="1"/>
  <c r="Y12" i="9"/>
  <c r="Y14" i="9" s="1"/>
  <c r="M190" i="3" s="1"/>
  <c r="W14" i="9"/>
  <c r="M187" i="3" s="1"/>
  <c r="N187" i="3" s="1"/>
  <c r="N186" i="3" s="1"/>
  <c r="J270" i="8"/>
  <c r="J279" i="8"/>
  <c r="J278" i="8"/>
  <c r="J274" i="8"/>
  <c r="J269" i="8"/>
  <c r="J266" i="8"/>
  <c r="J275" i="8"/>
  <c r="J271" i="8"/>
  <c r="J267" i="8"/>
  <c r="I290" i="8"/>
  <c r="J290" i="8"/>
  <c r="I289" i="8"/>
  <c r="J289" i="8"/>
  <c r="I283" i="8"/>
  <c r="J283" i="8"/>
  <c r="I288" i="8"/>
  <c r="J288" i="8"/>
  <c r="I285" i="8"/>
  <c r="J285" i="8"/>
  <c r="J287" i="8"/>
  <c r="J284" i="8"/>
  <c r="J286" i="8"/>
  <c r="I302" i="8"/>
  <c r="J259" i="8"/>
  <c r="I259" i="8"/>
  <c r="J256" i="8"/>
  <c r="I297" i="8"/>
  <c r="I296" i="8"/>
  <c r="I295" i="8"/>
  <c r="I294" i="8"/>
  <c r="I260" i="8"/>
  <c r="I258" i="8"/>
  <c r="J261" i="8"/>
  <c r="J257" i="8"/>
  <c r="E174" i="8"/>
  <c r="E175" i="8"/>
  <c r="E176" i="8"/>
  <c r="E177" i="8"/>
  <c r="E178" i="8"/>
  <c r="E179" i="8"/>
  <c r="E180" i="8"/>
  <c r="E181" i="8"/>
  <c r="F181" i="8" s="1"/>
  <c r="I181" i="8" s="1"/>
  <c r="E182" i="8"/>
  <c r="F182" i="8" s="1"/>
  <c r="I182" i="8" s="1"/>
  <c r="E183" i="8"/>
  <c r="F183" i="8" s="1"/>
  <c r="I183" i="8" s="1"/>
  <c r="E184" i="8"/>
  <c r="F184" i="8" s="1"/>
  <c r="I184" i="8" s="1"/>
  <c r="E185" i="8"/>
  <c r="F185" i="8" s="1"/>
  <c r="I185" i="8" s="1"/>
  <c r="E186" i="8"/>
  <c r="F186" i="8" s="1"/>
  <c r="I186" i="8" s="1"/>
  <c r="E187" i="8"/>
  <c r="F187" i="8" s="1"/>
  <c r="I187" i="8" s="1"/>
  <c r="E188" i="8"/>
  <c r="F188" i="8" s="1"/>
  <c r="I188" i="8" s="1"/>
  <c r="E189" i="8"/>
  <c r="F189" i="8" s="1"/>
  <c r="I189" i="8" s="1"/>
  <c r="E190" i="8"/>
  <c r="F190" i="8" s="1"/>
  <c r="I190" i="8" s="1"/>
  <c r="E191" i="8"/>
  <c r="F191" i="8" s="1"/>
  <c r="I191" i="8" s="1"/>
  <c r="E192" i="8"/>
  <c r="E193" i="8"/>
  <c r="F193" i="8" s="1"/>
  <c r="J193" i="8" s="1"/>
  <c r="E194" i="8"/>
  <c r="F194" i="8" s="1"/>
  <c r="J194" i="8" s="1"/>
  <c r="E195" i="8"/>
  <c r="F195" i="8" s="1"/>
  <c r="I195" i="8" s="1"/>
  <c r="E196" i="8"/>
  <c r="F196" i="8" s="1"/>
  <c r="I196" i="8" s="1"/>
  <c r="E197" i="8"/>
  <c r="F197" i="8" s="1"/>
  <c r="J197" i="8" s="1"/>
  <c r="E198" i="8"/>
  <c r="F198" i="8" s="1"/>
  <c r="I198" i="8" s="1"/>
  <c r="E199" i="8"/>
  <c r="F199" i="8" s="1"/>
  <c r="I199" i="8" s="1"/>
  <c r="E200" i="8"/>
  <c r="F200" i="8" s="1"/>
  <c r="I200" i="8" s="1"/>
  <c r="E201" i="8"/>
  <c r="F201" i="8" s="1"/>
  <c r="E202" i="8"/>
  <c r="F202" i="8" s="1"/>
  <c r="I202" i="8" s="1"/>
  <c r="E203" i="8"/>
  <c r="F203" i="8" s="1"/>
  <c r="I203" i="8" s="1"/>
  <c r="E204" i="8"/>
  <c r="F204" i="8" s="1"/>
  <c r="I204" i="8" s="1"/>
  <c r="E205" i="8"/>
  <c r="F205" i="8" s="1"/>
  <c r="J205" i="8" s="1"/>
  <c r="E206" i="8"/>
  <c r="F206" i="8" s="1"/>
  <c r="E207" i="8"/>
  <c r="F207" i="8" s="1"/>
  <c r="I207" i="8" s="1"/>
  <c r="E208" i="8"/>
  <c r="F208" i="8" s="1"/>
  <c r="I208" i="8" s="1"/>
  <c r="E209" i="8"/>
  <c r="F209" i="8" s="1"/>
  <c r="J209" i="8" s="1"/>
  <c r="E210" i="8"/>
  <c r="F210" i="8" s="1"/>
  <c r="J210" i="8" s="1"/>
  <c r="E211" i="8"/>
  <c r="F211" i="8" s="1"/>
  <c r="I211" i="8" s="1"/>
  <c r="E212" i="8"/>
  <c r="F212" i="8" s="1"/>
  <c r="I212" i="8" s="1"/>
  <c r="E213" i="8"/>
  <c r="F213" i="8" s="1"/>
  <c r="E214" i="8"/>
  <c r="F214" i="8" s="1"/>
  <c r="I214" i="8" s="1"/>
  <c r="E215" i="8"/>
  <c r="F215" i="8" s="1"/>
  <c r="I215" i="8" s="1"/>
  <c r="E216" i="8"/>
  <c r="F216" i="8" s="1"/>
  <c r="I216" i="8" s="1"/>
  <c r="E217" i="8"/>
  <c r="F217" i="8" s="1"/>
  <c r="J217" i="8" s="1"/>
  <c r="E218" i="8"/>
  <c r="F218" i="8" s="1"/>
  <c r="I218" i="8" s="1"/>
  <c r="E219" i="8"/>
  <c r="F219" i="8" s="1"/>
  <c r="I219" i="8" s="1"/>
  <c r="E220" i="8"/>
  <c r="F220" i="8" s="1"/>
  <c r="I220" i="8" s="1"/>
  <c r="E221" i="8"/>
  <c r="F221" i="8" s="1"/>
  <c r="J221" i="8" s="1"/>
  <c r="E222" i="8"/>
  <c r="F222" i="8" s="1"/>
  <c r="I222" i="8" s="1"/>
  <c r="E223" i="8"/>
  <c r="F223" i="8" s="1"/>
  <c r="I223" i="8" s="1"/>
  <c r="E224" i="8"/>
  <c r="F224" i="8" s="1"/>
  <c r="I224" i="8" s="1"/>
  <c r="E225" i="8"/>
  <c r="F225" i="8" s="1"/>
  <c r="J225" i="8" s="1"/>
  <c r="E226" i="8"/>
  <c r="F226" i="8" s="1"/>
  <c r="J226" i="8" s="1"/>
  <c r="E227" i="8"/>
  <c r="F227" i="8" s="1"/>
  <c r="I227" i="8" s="1"/>
  <c r="E228" i="8"/>
  <c r="F228" i="8" s="1"/>
  <c r="I228" i="8" s="1"/>
  <c r="E229" i="8"/>
  <c r="F229" i="8" s="1"/>
  <c r="J229" i="8" s="1"/>
  <c r="E230" i="8"/>
  <c r="F230" i="8" s="1"/>
  <c r="I230" i="8" s="1"/>
  <c r="E231" i="8"/>
  <c r="F231" i="8" s="1"/>
  <c r="I231" i="8" s="1"/>
  <c r="E232" i="8"/>
  <c r="F232" i="8" s="1"/>
  <c r="I232" i="8" s="1"/>
  <c r="E233" i="8"/>
  <c r="F233" i="8" s="1"/>
  <c r="J233" i="8" s="1"/>
  <c r="E234" i="8"/>
  <c r="F234" i="8" s="1"/>
  <c r="I234" i="8" s="1"/>
  <c r="E235" i="8"/>
  <c r="F235" i="8" s="1"/>
  <c r="I235" i="8" s="1"/>
  <c r="E236" i="8"/>
  <c r="F236" i="8" s="1"/>
  <c r="I236" i="8" s="1"/>
  <c r="E237" i="8"/>
  <c r="F237" i="8" s="1"/>
  <c r="J237" i="8" s="1"/>
  <c r="E238" i="8"/>
  <c r="F238" i="8" s="1"/>
  <c r="I238" i="8" s="1"/>
  <c r="E239" i="8"/>
  <c r="F239" i="8" s="1"/>
  <c r="I239" i="8" s="1"/>
  <c r="E240" i="8"/>
  <c r="F240" i="8" s="1"/>
  <c r="I240" i="8" s="1"/>
  <c r="E241" i="8"/>
  <c r="F241" i="8" s="1"/>
  <c r="J241" i="8" s="1"/>
  <c r="E242" i="8"/>
  <c r="F242" i="8" s="1"/>
  <c r="J242" i="8" s="1"/>
  <c r="E243" i="8"/>
  <c r="F243" i="8" s="1"/>
  <c r="I243" i="8" s="1"/>
  <c r="E244" i="8"/>
  <c r="F244" i="8" s="1"/>
  <c r="I244" i="8" s="1"/>
  <c r="E245" i="8"/>
  <c r="F245" i="8" s="1"/>
  <c r="J245" i="8" s="1"/>
  <c r="E246" i="8"/>
  <c r="F246" i="8" s="1"/>
  <c r="I246" i="8" s="1"/>
  <c r="E173" i="8"/>
  <c r="F192" i="8"/>
  <c r="I192" i="8" s="1"/>
  <c r="E146" i="8"/>
  <c r="E147" i="8"/>
  <c r="E148" i="8"/>
  <c r="E149" i="8"/>
  <c r="E150" i="8"/>
  <c r="E151" i="8"/>
  <c r="E152" i="8"/>
  <c r="E153" i="8"/>
  <c r="F153" i="8" s="1"/>
  <c r="I153" i="8" s="1"/>
  <c r="E154" i="8"/>
  <c r="F154" i="8" s="1"/>
  <c r="I154" i="8" s="1"/>
  <c r="E155" i="8"/>
  <c r="F155" i="8" s="1"/>
  <c r="J155" i="8" s="1"/>
  <c r="E156" i="8"/>
  <c r="E157" i="8"/>
  <c r="F157" i="8" s="1"/>
  <c r="E158" i="8"/>
  <c r="F158" i="8" s="1"/>
  <c r="I158" i="8" s="1"/>
  <c r="E159" i="8"/>
  <c r="F159" i="8" s="1"/>
  <c r="J159" i="8" s="1"/>
  <c r="E160" i="8"/>
  <c r="F160" i="8" s="1"/>
  <c r="J160" i="8" s="1"/>
  <c r="E161" i="8"/>
  <c r="F161" i="8" s="1"/>
  <c r="E162" i="8"/>
  <c r="F162" i="8" s="1"/>
  <c r="I162" i="8" s="1"/>
  <c r="E163" i="8"/>
  <c r="F163" i="8" s="1"/>
  <c r="J163" i="8" s="1"/>
  <c r="E164" i="8"/>
  <c r="F164" i="8" s="1"/>
  <c r="I164" i="8" s="1"/>
  <c r="E165" i="8"/>
  <c r="F165" i="8" s="1"/>
  <c r="J165" i="8" s="1"/>
  <c r="E166" i="8"/>
  <c r="F166" i="8" s="1"/>
  <c r="I166" i="8" s="1"/>
  <c r="E167" i="8"/>
  <c r="F167" i="8" s="1"/>
  <c r="J167" i="8" s="1"/>
  <c r="E168" i="8"/>
  <c r="F168" i="8" s="1"/>
  <c r="I168" i="8" s="1"/>
  <c r="E169" i="8"/>
  <c r="F169" i="8" s="1"/>
  <c r="I169" i="8" s="1"/>
  <c r="E170" i="8"/>
  <c r="F170" i="8" s="1"/>
  <c r="I170" i="8" s="1"/>
  <c r="E145" i="8"/>
  <c r="F156" i="8"/>
  <c r="I156" i="8" s="1"/>
  <c r="E136" i="8"/>
  <c r="E137" i="8"/>
  <c r="E138" i="8"/>
  <c r="E139" i="8"/>
  <c r="E140" i="8"/>
  <c r="F140" i="8" s="1"/>
  <c r="J140" i="8" s="1"/>
  <c r="E141" i="8"/>
  <c r="F141" i="8" s="1"/>
  <c r="I141" i="8" s="1"/>
  <c r="E142" i="8"/>
  <c r="E135" i="8"/>
  <c r="E119" i="8"/>
  <c r="E120" i="8"/>
  <c r="E121" i="8"/>
  <c r="E122" i="8"/>
  <c r="E123" i="8"/>
  <c r="F123" i="8" s="1"/>
  <c r="I123" i="8" s="1"/>
  <c r="E124" i="8"/>
  <c r="F124" i="8" s="1"/>
  <c r="J124" i="8" s="1"/>
  <c r="E125" i="8"/>
  <c r="F125" i="8" s="1"/>
  <c r="I125" i="8" s="1"/>
  <c r="E126" i="8"/>
  <c r="F126" i="8" s="1"/>
  <c r="I126" i="8" s="1"/>
  <c r="E127" i="8"/>
  <c r="F127" i="8" s="1"/>
  <c r="I127" i="8" s="1"/>
  <c r="E128" i="8"/>
  <c r="F128" i="8" s="1"/>
  <c r="J128" i="8" s="1"/>
  <c r="E129" i="8"/>
  <c r="F129" i="8" s="1"/>
  <c r="I129" i="8" s="1"/>
  <c r="E130" i="8"/>
  <c r="F130" i="8" s="1"/>
  <c r="I130" i="8" s="1"/>
  <c r="E131" i="8"/>
  <c r="F131" i="8" s="1"/>
  <c r="I131" i="8" s="1"/>
  <c r="E132" i="8"/>
  <c r="F132" i="8" s="1"/>
  <c r="I132" i="8" s="1"/>
  <c r="E118" i="8"/>
  <c r="F122" i="8"/>
  <c r="I122" i="8" s="1"/>
  <c r="E110" i="8"/>
  <c r="E111" i="8"/>
  <c r="E112" i="8"/>
  <c r="F112" i="8" s="1"/>
  <c r="I112" i="8" s="1"/>
  <c r="E113" i="8"/>
  <c r="F113" i="8" s="1"/>
  <c r="I113" i="8" s="1"/>
  <c r="E114" i="8"/>
  <c r="E115" i="8"/>
  <c r="E109" i="8"/>
  <c r="E89" i="8"/>
  <c r="E90" i="8"/>
  <c r="E91" i="8"/>
  <c r="E92" i="8"/>
  <c r="E93" i="8"/>
  <c r="E94" i="8"/>
  <c r="E95" i="8"/>
  <c r="E96" i="8"/>
  <c r="E97" i="8"/>
  <c r="E98" i="8"/>
  <c r="E99" i="8"/>
  <c r="F99" i="8" s="1"/>
  <c r="J99" i="8" s="1"/>
  <c r="E100" i="8"/>
  <c r="F100" i="8" s="1"/>
  <c r="I100" i="8" s="1"/>
  <c r="E101" i="8"/>
  <c r="F101" i="8" s="1"/>
  <c r="I101" i="8" s="1"/>
  <c r="E102" i="8"/>
  <c r="F102" i="8" s="1"/>
  <c r="J102" i="8" s="1"/>
  <c r="E103" i="8"/>
  <c r="F103" i="8" s="1"/>
  <c r="I103" i="8" s="1"/>
  <c r="E104" i="8"/>
  <c r="F104" i="8" s="1"/>
  <c r="J104" i="8" s="1"/>
  <c r="E105" i="8"/>
  <c r="F105" i="8" s="1"/>
  <c r="I105" i="8" s="1"/>
  <c r="E106" i="8"/>
  <c r="F106" i="8" s="1"/>
  <c r="J106" i="8" s="1"/>
  <c r="E88" i="8"/>
  <c r="F96" i="8"/>
  <c r="I96" i="8" s="1"/>
  <c r="F97" i="8"/>
  <c r="I97" i="8" s="1"/>
  <c r="F98" i="8"/>
  <c r="J98" i="8" s="1"/>
  <c r="E76" i="8"/>
  <c r="E77" i="8"/>
  <c r="E78" i="8"/>
  <c r="E79" i="8"/>
  <c r="E80" i="8"/>
  <c r="E81" i="8"/>
  <c r="E82" i="8"/>
  <c r="E83" i="8"/>
  <c r="E84" i="8"/>
  <c r="E85" i="8"/>
  <c r="E75" i="8"/>
  <c r="L41" i="26" l="1"/>
  <c r="M40" i="26"/>
  <c r="F215" i="21"/>
  <c r="F196" i="7"/>
  <c r="J154" i="21"/>
  <c r="M154" i="21"/>
  <c r="L154" i="21"/>
  <c r="L240" i="21"/>
  <c r="J240" i="21"/>
  <c r="M240" i="21"/>
  <c r="M57" i="21"/>
  <c r="L57" i="21"/>
  <c r="J57" i="21"/>
  <c r="F213" i="21"/>
  <c r="F95" i="7"/>
  <c r="F232" i="21"/>
  <c r="F142" i="7"/>
  <c r="F53" i="21"/>
  <c r="F148" i="7"/>
  <c r="L153" i="21"/>
  <c r="J153" i="21"/>
  <c r="M153" i="21"/>
  <c r="M244" i="21"/>
  <c r="L244" i="21"/>
  <c r="J244" i="21"/>
  <c r="J231" i="21"/>
  <c r="M231" i="21"/>
  <c r="L231" i="21"/>
  <c r="L225" i="21"/>
  <c r="J225" i="21"/>
  <c r="M225" i="21"/>
  <c r="J150" i="21"/>
  <c r="M150" i="21"/>
  <c r="L150" i="21"/>
  <c r="J234" i="21"/>
  <c r="L234" i="21"/>
  <c r="M234" i="21"/>
  <c r="L223" i="21"/>
  <c r="M223" i="21"/>
  <c r="J223" i="21"/>
  <c r="J236" i="21"/>
  <c r="L236" i="21"/>
  <c r="M236" i="21"/>
  <c r="J48" i="21"/>
  <c r="M48" i="21"/>
  <c r="L48" i="21"/>
  <c r="M52" i="21"/>
  <c r="J52" i="21"/>
  <c r="L52" i="21"/>
  <c r="F218" i="21"/>
  <c r="F295" i="7"/>
  <c r="F51" i="21"/>
  <c r="F361" i="7"/>
  <c r="F216" i="21"/>
  <c r="F241" i="7"/>
  <c r="J226" i="21"/>
  <c r="L226" i="21"/>
  <c r="M226" i="21"/>
  <c r="L227" i="21"/>
  <c r="M227" i="21"/>
  <c r="J227" i="21"/>
  <c r="M56" i="21"/>
  <c r="J56" i="21"/>
  <c r="L56" i="21"/>
  <c r="F72" i="21"/>
  <c r="F253" i="7"/>
  <c r="F217" i="21"/>
  <c r="F269" i="7"/>
  <c r="F45" i="21"/>
  <c r="F144" i="7"/>
  <c r="M228" i="21"/>
  <c r="J228" i="21"/>
  <c r="L228" i="21"/>
  <c r="J47" i="21"/>
  <c r="L47" i="21"/>
  <c r="M47" i="21"/>
  <c r="L243" i="21"/>
  <c r="J243" i="21"/>
  <c r="M243" i="21"/>
  <c r="L125" i="21"/>
  <c r="J233" i="21"/>
  <c r="L233" i="21"/>
  <c r="M233" i="21"/>
  <c r="J152" i="21"/>
  <c r="M152" i="21"/>
  <c r="L152" i="21"/>
  <c r="L149" i="21"/>
  <c r="J149" i="21"/>
  <c r="M149" i="21"/>
  <c r="L151" i="21"/>
  <c r="M151" i="21"/>
  <c r="J151" i="21"/>
  <c r="L224" i="21"/>
  <c r="J224" i="21"/>
  <c r="M224" i="21"/>
  <c r="M54" i="21"/>
  <c r="L54" i="21"/>
  <c r="J54" i="21"/>
  <c r="L235" i="21"/>
  <c r="J235" i="21"/>
  <c r="M235" i="21"/>
  <c r="M538" i="3"/>
  <c r="N537" i="3" s="1"/>
  <c r="N534" i="3"/>
  <c r="M637" i="3"/>
  <c r="N637" i="3" s="1"/>
  <c r="N636" i="3" s="1"/>
  <c r="N634" i="3"/>
  <c r="N633" i="3" s="1"/>
  <c r="M576" i="3"/>
  <c r="N575" i="3" s="1"/>
  <c r="N573" i="3"/>
  <c r="N572" i="3" s="1"/>
  <c r="M511" i="3"/>
  <c r="N510" i="3" s="1"/>
  <c r="N508" i="3"/>
  <c r="N507" i="3" s="1"/>
  <c r="M413" i="3"/>
  <c r="N412" i="3" s="1"/>
  <c r="N410" i="3"/>
  <c r="N409" i="3" s="1"/>
  <c r="M193" i="3"/>
  <c r="N192" i="3" s="1"/>
  <c r="N190" i="3"/>
  <c r="N189" i="3" s="1"/>
  <c r="M296" i="3"/>
  <c r="N296" i="3" s="1"/>
  <c r="N295" i="3" s="1"/>
  <c r="W60" i="9"/>
  <c r="M299" i="3"/>
  <c r="Y60" i="9"/>
  <c r="J223" i="8"/>
  <c r="I242" i="8"/>
  <c r="I194" i="8"/>
  <c r="J206" i="8"/>
  <c r="I206" i="8"/>
  <c r="J188" i="8"/>
  <c r="J199" i="8"/>
  <c r="I210" i="8"/>
  <c r="J213" i="8"/>
  <c r="I213" i="8"/>
  <c r="J201" i="8"/>
  <c r="I201" i="8"/>
  <c r="J222" i="8"/>
  <c r="J246" i="8"/>
  <c r="J243" i="8"/>
  <c r="J238" i="8"/>
  <c r="J235" i="8"/>
  <c r="J215" i="8"/>
  <c r="J195" i="8"/>
  <c r="J239" i="8"/>
  <c r="J234" i="8"/>
  <c r="J231" i="8"/>
  <c r="J230" i="8"/>
  <c r="J227" i="8"/>
  <c r="I226" i="8"/>
  <c r="I217" i="8"/>
  <c r="J211" i="8"/>
  <c r="J207" i="8"/>
  <c r="I197" i="8"/>
  <c r="J191" i="8"/>
  <c r="J184" i="8"/>
  <c r="J218" i="8"/>
  <c r="J202" i="8"/>
  <c r="J187" i="8"/>
  <c r="J183" i="8"/>
  <c r="I245" i="8"/>
  <c r="I241" i="8"/>
  <c r="I237" i="8"/>
  <c r="I233" i="8"/>
  <c r="I229" i="8"/>
  <c r="I225" i="8"/>
  <c r="J219" i="8"/>
  <c r="J214" i="8"/>
  <c r="I209" i="8"/>
  <c r="J203" i="8"/>
  <c r="J198" i="8"/>
  <c r="I193" i="8"/>
  <c r="I221" i="8"/>
  <c r="I205" i="8"/>
  <c r="M466" i="3" s="1"/>
  <c r="N466" i="3" s="1"/>
  <c r="J244" i="8"/>
  <c r="J240" i="8"/>
  <c r="J236" i="8"/>
  <c r="J232" i="8"/>
  <c r="J228" i="8"/>
  <c r="J224" i="8"/>
  <c r="J220" i="8"/>
  <c r="J216" i="8"/>
  <c r="J212" i="8"/>
  <c r="J208" i="8"/>
  <c r="J204" i="8"/>
  <c r="J200" i="8"/>
  <c r="J196" i="8"/>
  <c r="J192" i="8"/>
  <c r="J189" i="8"/>
  <c r="J185" i="8"/>
  <c r="J181" i="8"/>
  <c r="J190" i="8"/>
  <c r="J186" i="8"/>
  <c r="J182" i="8"/>
  <c r="I160" i="8"/>
  <c r="J156" i="8"/>
  <c r="J168" i="8"/>
  <c r="I157" i="8"/>
  <c r="J157" i="8"/>
  <c r="I161" i="8"/>
  <c r="J161" i="8"/>
  <c r="I159" i="8"/>
  <c r="I167" i="8"/>
  <c r="I165" i="8"/>
  <c r="I163" i="8"/>
  <c r="J169" i="8"/>
  <c r="J164" i="8"/>
  <c r="J153" i="8"/>
  <c r="J141" i="8"/>
  <c r="I155" i="8"/>
  <c r="J170" i="8"/>
  <c r="J166" i="8"/>
  <c r="J162" i="8"/>
  <c r="J158" i="8"/>
  <c r="J154" i="8"/>
  <c r="I140" i="8"/>
  <c r="I128" i="8"/>
  <c r="J132" i="8"/>
  <c r="J129" i="8"/>
  <c r="J125" i="8"/>
  <c r="I124" i="8"/>
  <c r="J130" i="8"/>
  <c r="J126" i="8"/>
  <c r="J122" i="8"/>
  <c r="J131" i="8"/>
  <c r="J127" i="8"/>
  <c r="J123" i="8"/>
  <c r="J112" i="8"/>
  <c r="J113" i="8"/>
  <c r="J100" i="8"/>
  <c r="I106" i="8"/>
  <c r="I104" i="8"/>
  <c r="I102" i="8"/>
  <c r="I99" i="8"/>
  <c r="I98" i="8"/>
  <c r="J103" i="8"/>
  <c r="J96" i="8"/>
  <c r="J105" i="8"/>
  <c r="J101" i="8"/>
  <c r="J97" i="8"/>
  <c r="F53" i="8"/>
  <c r="I53" i="8" s="1"/>
  <c r="F52" i="8"/>
  <c r="I52" i="8" s="1"/>
  <c r="F48" i="8"/>
  <c r="I48" i="8" s="1"/>
  <c r="F49" i="8"/>
  <c r="I49" i="8" s="1"/>
  <c r="F50" i="8"/>
  <c r="J50" i="8" s="1"/>
  <c r="F47" i="8"/>
  <c r="I47" i="8" s="1"/>
  <c r="F51" i="8"/>
  <c r="I51" i="8" s="1"/>
  <c r="F40" i="8"/>
  <c r="I40" i="8" s="1"/>
  <c r="F41" i="8"/>
  <c r="I41" i="8" s="1"/>
  <c r="F39" i="8"/>
  <c r="I39" i="8" s="1"/>
  <c r="F38" i="8"/>
  <c r="I38" i="8" s="1"/>
  <c r="L42" i="26" l="1"/>
  <c r="M41" i="26"/>
  <c r="K239" i="21"/>
  <c r="F90" i="21"/>
  <c r="F197" i="7"/>
  <c r="F95" i="21"/>
  <c r="F270" i="7"/>
  <c r="F94" i="21"/>
  <c r="F254" i="7"/>
  <c r="J254" i="7" s="1"/>
  <c r="J53" i="21"/>
  <c r="M53" i="21"/>
  <c r="L53" i="21"/>
  <c r="M213" i="21"/>
  <c r="L213" i="21"/>
  <c r="J213" i="21"/>
  <c r="M469" i="3"/>
  <c r="N465" i="3"/>
  <c r="F214" i="21"/>
  <c r="F145" i="7"/>
  <c r="F171" i="21"/>
  <c r="F198" i="7"/>
  <c r="J198" i="7" s="1"/>
  <c r="F173" i="21"/>
  <c r="F271" i="7"/>
  <c r="J271" i="7" s="1"/>
  <c r="F190" i="21"/>
  <c r="F255" i="7"/>
  <c r="J255" i="7" s="1"/>
  <c r="L217" i="21"/>
  <c r="M217" i="21"/>
  <c r="J217" i="21"/>
  <c r="J51" i="21"/>
  <c r="M51" i="21"/>
  <c r="F82" i="21"/>
  <c r="F96" i="7"/>
  <c r="F93" i="21"/>
  <c r="F242" i="7"/>
  <c r="F97" i="21"/>
  <c r="L97" i="21" s="1"/>
  <c r="F296" i="7"/>
  <c r="K223" i="21"/>
  <c r="J232" i="21"/>
  <c r="K231" i="21" s="1"/>
  <c r="L232" i="21"/>
  <c r="F169" i="21"/>
  <c r="F97" i="7"/>
  <c r="F172" i="21"/>
  <c r="F243" i="7"/>
  <c r="J243" i="7" s="1"/>
  <c r="F174" i="21"/>
  <c r="F297" i="7"/>
  <c r="L45" i="21"/>
  <c r="J45" i="21"/>
  <c r="M45" i="21"/>
  <c r="J72" i="21"/>
  <c r="L72" i="21"/>
  <c r="M72" i="21"/>
  <c r="J216" i="21"/>
  <c r="L216" i="21"/>
  <c r="M216" i="21"/>
  <c r="J218" i="21"/>
  <c r="M218" i="21"/>
  <c r="L218" i="21"/>
  <c r="L215" i="21"/>
  <c r="M215" i="21"/>
  <c r="J215" i="21"/>
  <c r="M302" i="3"/>
  <c r="N301" i="3" s="1"/>
  <c r="N299" i="3"/>
  <c r="N298" i="3" s="1"/>
  <c r="J53" i="8"/>
  <c r="J52" i="8"/>
  <c r="I50" i="8"/>
  <c r="J48" i="8"/>
  <c r="J49" i="8"/>
  <c r="J47" i="8"/>
  <c r="J40" i="8"/>
  <c r="J51" i="8"/>
  <c r="J41" i="8"/>
  <c r="J38" i="8"/>
  <c r="J39" i="8"/>
  <c r="L43" i="26" l="1"/>
  <c r="M43" i="26" s="1"/>
  <c r="M42" i="26"/>
  <c r="J97" i="7"/>
  <c r="K44" i="21"/>
  <c r="F71" i="21"/>
  <c r="M174" i="21"/>
  <c r="L174" i="21"/>
  <c r="J174" i="21"/>
  <c r="L169" i="21"/>
  <c r="J169" i="21"/>
  <c r="M169" i="21"/>
  <c r="O93" i="21"/>
  <c r="P93" i="21" s="1"/>
  <c r="J93" i="21"/>
  <c r="L93" i="21"/>
  <c r="M93" i="21"/>
  <c r="M190" i="21"/>
  <c r="L190" i="21"/>
  <c r="J190" i="21"/>
  <c r="J171" i="21"/>
  <c r="L171" i="21"/>
  <c r="M171" i="21"/>
  <c r="N468" i="3"/>
  <c r="M472" i="3"/>
  <c r="N471" i="3" s="1"/>
  <c r="O95" i="21"/>
  <c r="P95" i="21" s="1"/>
  <c r="L95" i="21"/>
  <c r="J95" i="21"/>
  <c r="M95" i="21"/>
  <c r="F86" i="21"/>
  <c r="O81" i="21" s="1"/>
  <c r="P81" i="21" s="1"/>
  <c r="F146" i="7"/>
  <c r="F170" i="21"/>
  <c r="F147" i="7"/>
  <c r="J147" i="7" s="1"/>
  <c r="M172" i="21"/>
  <c r="J172" i="21"/>
  <c r="L172" i="21"/>
  <c r="O97" i="21"/>
  <c r="P97" i="21" s="1"/>
  <c r="M97" i="21"/>
  <c r="J97" i="21"/>
  <c r="O82" i="21"/>
  <c r="J82" i="21"/>
  <c r="L82" i="21"/>
  <c r="M82" i="21"/>
  <c r="M173" i="21"/>
  <c r="J173" i="21"/>
  <c r="L173" i="21"/>
  <c r="L214" i="21"/>
  <c r="M214" i="21"/>
  <c r="J214" i="21"/>
  <c r="K213" i="21" s="1"/>
  <c r="L166" i="21"/>
  <c r="J94" i="21"/>
  <c r="L94" i="21"/>
  <c r="M94" i="21"/>
  <c r="L129" i="21"/>
  <c r="O90" i="21"/>
  <c r="P90" i="21" s="1"/>
  <c r="M90" i="21"/>
  <c r="L90" i="21"/>
  <c r="J90" i="21"/>
  <c r="K50" i="26" l="1"/>
  <c r="L49" i="26"/>
  <c r="L50" i="26"/>
  <c r="L48" i="26"/>
  <c r="K49" i="26"/>
  <c r="F48" i="13"/>
  <c r="J48" i="13" s="1"/>
  <c r="F92" i="21"/>
  <c r="F226" i="7"/>
  <c r="J226" i="7" s="1"/>
  <c r="L170" i="21"/>
  <c r="J170" i="21"/>
  <c r="M170" i="21"/>
  <c r="O86" i="21"/>
  <c r="P86" i="21" s="1"/>
  <c r="L86" i="21"/>
  <c r="M86" i="21"/>
  <c r="J86" i="21"/>
  <c r="K82" i="21" s="1"/>
  <c r="P82" i="21"/>
  <c r="F189" i="21"/>
  <c r="F227" i="7"/>
  <c r="J227" i="7" s="1"/>
  <c r="M71" i="21"/>
  <c r="L71" i="21"/>
  <c r="J71" i="21"/>
  <c r="J189" i="21" l="1"/>
  <c r="L189" i="21"/>
  <c r="M189" i="21"/>
  <c r="O80" i="21"/>
  <c r="P80" i="21" s="1"/>
  <c r="M92" i="21"/>
  <c r="L92" i="21"/>
  <c r="J92" i="21"/>
  <c r="G27" i="21" l="1"/>
  <c r="J251" i="7"/>
  <c r="H27" i="21" l="1"/>
  <c r="I27" i="21" s="1"/>
  <c r="M232" i="21" l="1"/>
  <c r="N34" i="3"/>
  <c r="N33" i="3" s="1"/>
  <c r="N31" i="3"/>
  <c r="N30" i="3" s="1"/>
  <c r="N28" i="3"/>
  <c r="N27" i="3" s="1"/>
  <c r="N25" i="3"/>
  <c r="N24" i="3" s="1"/>
  <c r="F221" i="21" l="1"/>
  <c r="F19" i="13"/>
  <c r="F247" i="21"/>
  <c r="F17" i="13"/>
  <c r="F248" i="21"/>
  <c r="F16" i="13"/>
  <c r="F249" i="21"/>
  <c r="F18" i="13"/>
  <c r="J248" i="21" l="1"/>
  <c r="L248" i="21"/>
  <c r="M248" i="21"/>
  <c r="J247" i="21"/>
  <c r="M247" i="21"/>
  <c r="L247" i="21"/>
  <c r="L221" i="21"/>
  <c r="J221" i="21"/>
  <c r="M221" i="21"/>
  <c r="L14" i="21"/>
  <c r="J249" i="21"/>
  <c r="L249" i="21"/>
  <c r="M249" i="21"/>
  <c r="F311" i="8" l="1"/>
  <c r="I311" i="8" s="1"/>
  <c r="F312" i="8"/>
  <c r="I312" i="8" s="1"/>
  <c r="F313" i="8"/>
  <c r="J313" i="8" s="1"/>
  <c r="F314" i="8"/>
  <c r="I314" i="8" s="1"/>
  <c r="F315" i="8"/>
  <c r="I315" i="8" s="1"/>
  <c r="F316" i="8"/>
  <c r="I316" i="8" s="1"/>
  <c r="F310" i="8"/>
  <c r="J310" i="8" s="1"/>
  <c r="F309" i="8"/>
  <c r="J309" i="8" s="1"/>
  <c r="F308" i="8"/>
  <c r="J308" i="8" s="1"/>
  <c r="F307" i="8"/>
  <c r="J307" i="8" s="1"/>
  <c r="F306" i="8"/>
  <c r="J306" i="8" s="1"/>
  <c r="F299" i="8"/>
  <c r="I299" i="8" s="1"/>
  <c r="F300" i="8"/>
  <c r="I300" i="8" s="1"/>
  <c r="F301" i="8"/>
  <c r="J301" i="8" s="1"/>
  <c r="F303" i="8"/>
  <c r="J303" i="8" s="1"/>
  <c r="F298" i="8"/>
  <c r="J298" i="8" s="1"/>
  <c r="F293" i="8"/>
  <c r="I293" i="8" s="1"/>
  <c r="F265" i="8"/>
  <c r="J265" i="8" s="1"/>
  <c r="J281" i="8" s="1"/>
  <c r="F262" i="8"/>
  <c r="J262" i="8" s="1"/>
  <c r="F255" i="8"/>
  <c r="J255" i="8" s="1"/>
  <c r="F254" i="8"/>
  <c r="J254" i="8" s="1"/>
  <c r="F253" i="8"/>
  <c r="J253" i="8" s="1"/>
  <c r="F252" i="8"/>
  <c r="J252" i="8" s="1"/>
  <c r="F251" i="8"/>
  <c r="I251" i="8" s="1"/>
  <c r="F250" i="8"/>
  <c r="I250" i="8" s="1"/>
  <c r="F249" i="8"/>
  <c r="J249" i="8" s="1"/>
  <c r="F180" i="8"/>
  <c r="J180" i="8" s="1"/>
  <c r="F179" i="8"/>
  <c r="I179" i="8" s="1"/>
  <c r="F178" i="8"/>
  <c r="I178" i="8" s="1"/>
  <c r="F177" i="8"/>
  <c r="J177" i="8" s="1"/>
  <c r="F176" i="8"/>
  <c r="J176" i="8" s="1"/>
  <c r="F175" i="8"/>
  <c r="I175" i="8" s="1"/>
  <c r="F174" i="8"/>
  <c r="I174" i="8" s="1"/>
  <c r="F173" i="8"/>
  <c r="J173" i="8" s="1"/>
  <c r="J314" i="8" l="1"/>
  <c r="I307" i="8"/>
  <c r="J315" i="8"/>
  <c r="J311" i="8"/>
  <c r="I313" i="8"/>
  <c r="J316" i="8"/>
  <c r="J312" i="8"/>
  <c r="I308" i="8"/>
  <c r="I306" i="8"/>
  <c r="I310" i="8"/>
  <c r="I309" i="8"/>
  <c r="J299" i="8"/>
  <c r="I301" i="8"/>
  <c r="J300" i="8"/>
  <c r="J174" i="8"/>
  <c r="J293" i="8"/>
  <c r="I303" i="8"/>
  <c r="I298" i="8"/>
  <c r="J291" i="8"/>
  <c r="J282" i="8" s="1"/>
  <c r="I265" i="8"/>
  <c r="J178" i="8"/>
  <c r="I254" i="8"/>
  <c r="I262" i="8"/>
  <c r="I253" i="8"/>
  <c r="J251" i="8"/>
  <c r="J250" i="8"/>
  <c r="I249" i="8"/>
  <c r="I252" i="8"/>
  <c r="I255" i="8"/>
  <c r="J179" i="8"/>
  <c r="I177" i="8"/>
  <c r="J175" i="8"/>
  <c r="I173" i="8"/>
  <c r="I176" i="8"/>
  <c r="I180" i="8"/>
  <c r="I281" i="8" l="1"/>
  <c r="J264" i="8"/>
  <c r="J317" i="8"/>
  <c r="J305" i="8" s="1"/>
  <c r="I317" i="8"/>
  <c r="M747" i="3" s="1"/>
  <c r="N747" i="3" s="1"/>
  <c r="J304" i="8"/>
  <c r="J292" i="8" s="1"/>
  <c r="I304" i="8"/>
  <c r="I291" i="8"/>
  <c r="J263" i="8"/>
  <c r="J248" i="8" s="1"/>
  <c r="J247" i="8"/>
  <c r="J172" i="8" s="1"/>
  <c r="I263" i="8"/>
  <c r="I248" i="8" s="1"/>
  <c r="K248" i="8" s="1"/>
  <c r="I247" i="8"/>
  <c r="I172" i="8" s="1"/>
  <c r="F152" i="8"/>
  <c r="J152" i="8" s="1"/>
  <c r="F151" i="8"/>
  <c r="I151" i="8" s="1"/>
  <c r="F150" i="8"/>
  <c r="I150" i="8" s="1"/>
  <c r="F149" i="8"/>
  <c r="J149" i="8" s="1"/>
  <c r="F148" i="8"/>
  <c r="I148" i="8" s="1"/>
  <c r="F147" i="8"/>
  <c r="J147" i="8" s="1"/>
  <c r="F146" i="8"/>
  <c r="I146" i="8" s="1"/>
  <c r="F145" i="8"/>
  <c r="J145" i="8" s="1"/>
  <c r="M750" i="3" l="1"/>
  <c r="N746" i="3"/>
  <c r="I264" i="8"/>
  <c r="K264" i="8" s="1"/>
  <c r="M593" i="3"/>
  <c r="N593" i="3" s="1"/>
  <c r="I292" i="8"/>
  <c r="K292" i="8" s="1"/>
  <c r="M657" i="3"/>
  <c r="N657" i="3" s="1"/>
  <c r="M680" i="3"/>
  <c r="N680" i="3" s="1"/>
  <c r="I305" i="8"/>
  <c r="K305" i="8" s="1"/>
  <c r="I282" i="8"/>
  <c r="K282" i="8" s="1"/>
  <c r="K172" i="8"/>
  <c r="I152" i="8"/>
  <c r="J150" i="8"/>
  <c r="J151" i="8"/>
  <c r="J148" i="8"/>
  <c r="I147" i="8"/>
  <c r="I145" i="8"/>
  <c r="J146" i="8"/>
  <c r="I149" i="8"/>
  <c r="C26" i="10"/>
  <c r="C23" i="10"/>
  <c r="B27" i="10"/>
  <c r="B12" i="10"/>
  <c r="M596" i="3" l="1"/>
  <c r="N592" i="3"/>
  <c r="M683" i="3"/>
  <c r="N679" i="3"/>
  <c r="M660" i="3"/>
  <c r="N656" i="3"/>
  <c r="F76" i="21"/>
  <c r="F346" i="7"/>
  <c r="J346" i="7" s="1"/>
  <c r="M753" i="3"/>
  <c r="N752" i="3" s="1"/>
  <c r="N749" i="3"/>
  <c r="I171" i="8"/>
  <c r="J171" i="8"/>
  <c r="J144" i="8" s="1"/>
  <c r="C14" i="10"/>
  <c r="L76" i="21" l="1"/>
  <c r="J76" i="21"/>
  <c r="M76" i="21"/>
  <c r="N682" i="3"/>
  <c r="M686" i="3"/>
  <c r="N685" i="3" s="1"/>
  <c r="F101" i="21"/>
  <c r="F347" i="7"/>
  <c r="J347" i="7" s="1"/>
  <c r="F74" i="21"/>
  <c r="F306" i="7"/>
  <c r="F73" i="21"/>
  <c r="F279" i="7"/>
  <c r="F194" i="21"/>
  <c r="F348" i="7"/>
  <c r="J348" i="7" s="1"/>
  <c r="M663" i="3"/>
  <c r="N662" i="3" s="1"/>
  <c r="N659" i="3"/>
  <c r="N595" i="3"/>
  <c r="M599" i="3"/>
  <c r="N598" i="3" s="1"/>
  <c r="F75" i="21"/>
  <c r="F318" i="7"/>
  <c r="I144" i="8"/>
  <c r="M434" i="3" s="1"/>
  <c r="N434" i="3" s="1"/>
  <c r="C29" i="10"/>
  <c r="C20" i="10"/>
  <c r="E18" i="10" s="1"/>
  <c r="E19" i="10" s="1"/>
  <c r="E11" i="10"/>
  <c r="F11" i="10" s="1"/>
  <c r="G11" i="10" s="1"/>
  <c r="H11" i="10" s="1"/>
  <c r="I11" i="10" s="1"/>
  <c r="J11" i="10" s="1"/>
  <c r="K11" i="10" s="1"/>
  <c r="L11" i="10" s="1"/>
  <c r="M11" i="10" s="1"/>
  <c r="F98" i="21" l="1"/>
  <c r="F307" i="7"/>
  <c r="J307" i="7" s="1"/>
  <c r="M437" i="3"/>
  <c r="N433" i="3"/>
  <c r="F192" i="21"/>
  <c r="F308" i="7"/>
  <c r="J308" i="7" s="1"/>
  <c r="J73" i="21"/>
  <c r="L73" i="21"/>
  <c r="M73" i="21"/>
  <c r="M101" i="21"/>
  <c r="J101" i="21"/>
  <c r="L101" i="21"/>
  <c r="F191" i="21"/>
  <c r="F281" i="7"/>
  <c r="J281" i="7" s="1"/>
  <c r="F193" i="21"/>
  <c r="F320" i="7"/>
  <c r="J320" i="7" s="1"/>
  <c r="L211" i="21"/>
  <c r="L75" i="21"/>
  <c r="M75" i="21"/>
  <c r="J75" i="21"/>
  <c r="F96" i="21"/>
  <c r="F280" i="7"/>
  <c r="J280" i="7" s="1"/>
  <c r="L194" i="21"/>
  <c r="M194" i="21"/>
  <c r="J194" i="21"/>
  <c r="M74" i="21"/>
  <c r="L74" i="21"/>
  <c r="J74" i="21"/>
  <c r="F99" i="21"/>
  <c r="F319" i="7"/>
  <c r="J319" i="7" s="1"/>
  <c r="K144" i="8"/>
  <c r="M18" i="10"/>
  <c r="M19" i="10" s="1"/>
  <c r="L18" i="10"/>
  <c r="L19" i="10" s="1"/>
  <c r="N23" i="10"/>
  <c r="N22" i="10" s="1"/>
  <c r="K18" i="10"/>
  <c r="K19" i="10" s="1"/>
  <c r="J18" i="10"/>
  <c r="J19" i="10" s="1"/>
  <c r="N20" i="10"/>
  <c r="N19" i="10" s="1"/>
  <c r="F18" i="10"/>
  <c r="F19" i="10" s="1"/>
  <c r="N26" i="10"/>
  <c r="N25" i="10" s="1"/>
  <c r="N29" i="10"/>
  <c r="N28" i="10" s="1"/>
  <c r="I18" i="10"/>
  <c r="I19" i="10" s="1"/>
  <c r="N32" i="10"/>
  <c r="N31" i="10" s="1"/>
  <c r="L191" i="21" l="1"/>
  <c r="M191" i="21"/>
  <c r="J191" i="21"/>
  <c r="J192" i="21"/>
  <c r="M192" i="21"/>
  <c r="L192" i="21"/>
  <c r="J193" i="21"/>
  <c r="L193" i="21"/>
  <c r="M193" i="21"/>
  <c r="F70" i="21"/>
  <c r="F208" i="7"/>
  <c r="M99" i="21"/>
  <c r="L99" i="21"/>
  <c r="J99" i="21"/>
  <c r="J96" i="21"/>
  <c r="M96" i="21"/>
  <c r="L96" i="21"/>
  <c r="M440" i="3"/>
  <c r="N439" i="3" s="1"/>
  <c r="N436" i="3"/>
  <c r="M98" i="21"/>
  <c r="L98" i="21"/>
  <c r="J98" i="21"/>
  <c r="N14" i="10"/>
  <c r="N13" i="10" s="1"/>
  <c r="J277" i="7" l="1"/>
  <c r="L136" i="21"/>
  <c r="J70" i="21"/>
  <c r="M70" i="21"/>
  <c r="L70" i="21"/>
  <c r="F91" i="21"/>
  <c r="F209" i="7"/>
  <c r="J209" i="7" s="1"/>
  <c r="F188" i="21"/>
  <c r="F210" i="7"/>
  <c r="J210" i="7" s="1"/>
  <c r="L138" i="21" l="1"/>
  <c r="J188" i="21"/>
  <c r="L188" i="21"/>
  <c r="M188" i="21"/>
  <c r="L91" i="21"/>
  <c r="J91" i="21"/>
  <c r="M91" i="21"/>
  <c r="E22" i="3" l="1"/>
  <c r="N21" i="3" s="1"/>
  <c r="F15" i="7" l="1"/>
  <c r="J15" i="7" s="1"/>
  <c r="F250" i="21"/>
  <c r="F15" i="13"/>
  <c r="J15" i="13" s="1"/>
  <c r="M250" i="21" l="1"/>
  <c r="L250" i="21"/>
  <c r="J250" i="21"/>
  <c r="F139" i="8"/>
  <c r="I139" i="8" s="1"/>
  <c r="F142" i="8"/>
  <c r="I142" i="8" s="1"/>
  <c r="F138" i="8"/>
  <c r="J138" i="8" s="1"/>
  <c r="F137" i="8"/>
  <c r="J137" i="8" s="1"/>
  <c r="F136" i="8"/>
  <c r="I136" i="8" s="1"/>
  <c r="F135" i="8"/>
  <c r="I135" i="8" s="1"/>
  <c r="F121" i="8"/>
  <c r="I121" i="8" s="1"/>
  <c r="F120" i="8"/>
  <c r="J120" i="8" s="1"/>
  <c r="F119" i="8"/>
  <c r="J119" i="8" s="1"/>
  <c r="F118" i="8"/>
  <c r="J118" i="8" s="1"/>
  <c r="F114" i="8"/>
  <c r="I114" i="8" s="1"/>
  <c r="F115" i="8"/>
  <c r="I115" i="8" s="1"/>
  <c r="F111" i="8"/>
  <c r="J111" i="8" s="1"/>
  <c r="F110" i="8"/>
  <c r="I110" i="8" s="1"/>
  <c r="F109" i="8"/>
  <c r="J109" i="8" s="1"/>
  <c r="F94" i="8"/>
  <c r="I94" i="8" s="1"/>
  <c r="F95" i="8"/>
  <c r="J95" i="8" s="1"/>
  <c r="F93" i="8"/>
  <c r="J93" i="8" s="1"/>
  <c r="F92" i="8"/>
  <c r="I92" i="8" s="1"/>
  <c r="F91" i="8"/>
  <c r="J91" i="8" s="1"/>
  <c r="F90" i="8"/>
  <c r="J90" i="8" s="1"/>
  <c r="F89" i="8"/>
  <c r="J89" i="8" s="1"/>
  <c r="F88" i="8"/>
  <c r="I88" i="8" s="1"/>
  <c r="F84" i="8"/>
  <c r="I84" i="8" s="1"/>
  <c r="F85" i="8"/>
  <c r="I85" i="8" s="1"/>
  <c r="F83" i="8"/>
  <c r="J83" i="8" s="1"/>
  <c r="F82" i="8"/>
  <c r="J82" i="8" s="1"/>
  <c r="F81" i="8"/>
  <c r="J81" i="8" s="1"/>
  <c r="F80" i="8"/>
  <c r="J80" i="8" s="1"/>
  <c r="F79" i="8"/>
  <c r="J79" i="8" s="1"/>
  <c r="F78" i="8"/>
  <c r="I78" i="8" s="1"/>
  <c r="F77" i="8"/>
  <c r="J77" i="8" s="1"/>
  <c r="F76" i="8"/>
  <c r="J76" i="8" s="1"/>
  <c r="F75" i="8"/>
  <c r="J75" i="8" s="1"/>
  <c r="F65" i="8"/>
  <c r="J65" i="8" s="1"/>
  <c r="F67" i="8"/>
  <c r="I67" i="8" s="1"/>
  <c r="F68" i="8"/>
  <c r="I68" i="8" s="1"/>
  <c r="F69" i="8"/>
  <c r="J69" i="8" s="1"/>
  <c r="F70" i="8"/>
  <c r="I70" i="8" s="1"/>
  <c r="F71" i="8"/>
  <c r="I71" i="8" s="1"/>
  <c r="F72" i="8"/>
  <c r="I72" i="8" s="1"/>
  <c r="F66" i="8"/>
  <c r="J66" i="8" s="1"/>
  <c r="F59" i="8"/>
  <c r="I59" i="8" s="1"/>
  <c r="F60" i="8"/>
  <c r="I60" i="8" s="1"/>
  <c r="F61" i="8"/>
  <c r="J61" i="8" s="1"/>
  <c r="F62" i="8"/>
  <c r="I62" i="8" s="1"/>
  <c r="F58" i="8"/>
  <c r="J58" i="8" s="1"/>
  <c r="F57" i="8"/>
  <c r="I57" i="8" s="1"/>
  <c r="F56" i="8"/>
  <c r="J56" i="8" s="1"/>
  <c r="F46" i="8"/>
  <c r="I46" i="8" s="1"/>
  <c r="F45" i="8"/>
  <c r="J45" i="8" s="1"/>
  <c r="F36" i="8"/>
  <c r="I36" i="8" s="1"/>
  <c r="F37" i="8"/>
  <c r="J37" i="8" s="1"/>
  <c r="F42" i="8"/>
  <c r="J42" i="8" s="1"/>
  <c r="F35" i="8"/>
  <c r="I35" i="8" s="1"/>
  <c r="F28" i="8"/>
  <c r="I28" i="8" s="1"/>
  <c r="F29" i="8"/>
  <c r="J29" i="8" s="1"/>
  <c r="F30" i="8"/>
  <c r="I30" i="8" s="1"/>
  <c r="F31" i="8"/>
  <c r="J31" i="8" s="1"/>
  <c r="F32" i="8"/>
  <c r="I32" i="8" s="1"/>
  <c r="F27" i="8"/>
  <c r="J27" i="8" s="1"/>
  <c r="F21" i="8"/>
  <c r="I21" i="8" s="1"/>
  <c r="F22" i="8"/>
  <c r="I22" i="8" s="1"/>
  <c r="F23" i="8"/>
  <c r="F24" i="8"/>
  <c r="I24" i="8" s="1"/>
  <c r="F20" i="8"/>
  <c r="J20" i="8" s="1"/>
  <c r="F15" i="8"/>
  <c r="I15" i="8" s="1"/>
  <c r="F16" i="8"/>
  <c r="I16" i="8" s="1"/>
  <c r="F17" i="8"/>
  <c r="J17" i="8" s="1"/>
  <c r="F14" i="8"/>
  <c r="J14" i="8" s="1"/>
  <c r="N18" i="3"/>
  <c r="N14" i="3"/>
  <c r="F30" i="21" l="1"/>
  <c r="F14" i="13"/>
  <c r="J14" i="13" s="1"/>
  <c r="F14" i="7"/>
  <c r="J14" i="7" s="1"/>
  <c r="F27" i="21"/>
  <c r="F11" i="13"/>
  <c r="J10" i="13" s="1"/>
  <c r="I109" i="8"/>
  <c r="J135" i="8"/>
  <c r="I138" i="8"/>
  <c r="J136" i="8"/>
  <c r="J139" i="8"/>
  <c r="J142" i="8"/>
  <c r="I137" i="8"/>
  <c r="I143" i="8" s="1"/>
  <c r="I119" i="8"/>
  <c r="I118" i="8"/>
  <c r="I120" i="8"/>
  <c r="J121" i="8"/>
  <c r="J133" i="8" s="1"/>
  <c r="J114" i="8"/>
  <c r="J110" i="8"/>
  <c r="J115" i="8"/>
  <c r="I111" i="8"/>
  <c r="J92" i="8"/>
  <c r="I95" i="8"/>
  <c r="I91" i="8"/>
  <c r="J88" i="8"/>
  <c r="J94" i="8"/>
  <c r="I90" i="8"/>
  <c r="I89" i="8"/>
  <c r="I93" i="8"/>
  <c r="J84" i="8"/>
  <c r="I81" i="8"/>
  <c r="I76" i="8"/>
  <c r="I77" i="8"/>
  <c r="I80" i="8"/>
  <c r="J70" i="8"/>
  <c r="J67" i="8"/>
  <c r="I65" i="8"/>
  <c r="J85" i="8"/>
  <c r="J78" i="8"/>
  <c r="I75" i="8"/>
  <c r="I79" i="8"/>
  <c r="I83" i="8"/>
  <c r="I82" i="8"/>
  <c r="J71" i="8"/>
  <c r="I69" i="8"/>
  <c r="J72" i="8"/>
  <c r="J68" i="8"/>
  <c r="I66" i="8"/>
  <c r="J57" i="8"/>
  <c r="I61" i="8"/>
  <c r="J62" i="8"/>
  <c r="I56" i="8"/>
  <c r="J59" i="8"/>
  <c r="J63" i="8" s="1"/>
  <c r="J55" i="8" s="1"/>
  <c r="J60" i="8"/>
  <c r="I58" i="8"/>
  <c r="I23" i="8"/>
  <c r="J23" i="8"/>
  <c r="J24" i="8"/>
  <c r="J36" i="8"/>
  <c r="J15" i="8"/>
  <c r="J16" i="8"/>
  <c r="J22" i="8"/>
  <c r="J35" i="8"/>
  <c r="J46" i="8"/>
  <c r="J32" i="8"/>
  <c r="J28" i="8"/>
  <c r="I31" i="8"/>
  <c r="I42" i="8"/>
  <c r="I45" i="8"/>
  <c r="I54" i="8" s="1"/>
  <c r="I27" i="8"/>
  <c r="I37" i="8"/>
  <c r="I14" i="8"/>
  <c r="I17" i="8"/>
  <c r="I20" i="8"/>
  <c r="J21" i="8"/>
  <c r="I29" i="8"/>
  <c r="J30" i="8"/>
  <c r="J117" i="8" l="1"/>
  <c r="L27" i="21"/>
  <c r="M27" i="21"/>
  <c r="J27" i="21"/>
  <c r="L10" i="21"/>
  <c r="M30" i="21"/>
  <c r="L30" i="21"/>
  <c r="J30" i="21"/>
  <c r="I133" i="8"/>
  <c r="I25" i="8"/>
  <c r="I19" i="8" s="1"/>
  <c r="M79" i="3" s="1"/>
  <c r="N79" i="3" s="1"/>
  <c r="J143" i="8"/>
  <c r="J134" i="8" s="1"/>
  <c r="I107" i="8"/>
  <c r="J116" i="8"/>
  <c r="J108" i="8" s="1"/>
  <c r="I116" i="8"/>
  <c r="I108" i="8" s="1"/>
  <c r="M345" i="3" s="1"/>
  <c r="N345" i="3" s="1"/>
  <c r="I134" i="8"/>
  <c r="J13" i="7"/>
  <c r="I117" i="8"/>
  <c r="J107" i="8"/>
  <c r="J87" i="8" s="1"/>
  <c r="J86" i="8"/>
  <c r="J74" i="8" s="1"/>
  <c r="J73" i="8"/>
  <c r="I63" i="8"/>
  <c r="I55" i="8" s="1"/>
  <c r="M210" i="3" s="1"/>
  <c r="N210" i="3" s="1"/>
  <c r="I73" i="8"/>
  <c r="I86" i="8"/>
  <c r="J54" i="8"/>
  <c r="J44" i="8" s="1"/>
  <c r="J43" i="8"/>
  <c r="J34" i="8" s="1"/>
  <c r="J25" i="8"/>
  <c r="J19" i="8" s="1"/>
  <c r="J18" i="8"/>
  <c r="J13" i="8" s="1"/>
  <c r="I43" i="8"/>
  <c r="I34" i="8" s="1"/>
  <c r="M126" i="3" s="1"/>
  <c r="N126" i="3" s="1"/>
  <c r="J33" i="8"/>
  <c r="J26" i="8" s="1"/>
  <c r="I44" i="8"/>
  <c r="M149" i="3" s="1"/>
  <c r="N149" i="3" s="1"/>
  <c r="I33" i="8"/>
  <c r="I26" i="8" s="1"/>
  <c r="M103" i="3" s="1"/>
  <c r="N103" i="3" s="1"/>
  <c r="I18" i="8"/>
  <c r="I13" i="8" s="1"/>
  <c r="M56" i="3" s="1"/>
  <c r="I318" i="8" l="1"/>
  <c r="N209" i="3"/>
  <c r="M213" i="3"/>
  <c r="M369" i="3"/>
  <c r="N369" i="3" s="1"/>
  <c r="N344" i="3"/>
  <c r="M348" i="3"/>
  <c r="N78" i="3"/>
  <c r="M82" i="3"/>
  <c r="N125" i="3"/>
  <c r="M129" i="3"/>
  <c r="M106" i="3"/>
  <c r="N102" i="3"/>
  <c r="M152" i="3"/>
  <c r="N148" i="3"/>
  <c r="J223" i="7"/>
  <c r="J304" i="7"/>
  <c r="K19" i="8"/>
  <c r="J33" i="13"/>
  <c r="J13" i="13"/>
  <c r="I74" i="8"/>
  <c r="M258" i="3" s="1"/>
  <c r="N258" i="3" s="1"/>
  <c r="J64" i="8"/>
  <c r="I64" i="8"/>
  <c r="M234" i="3" s="1"/>
  <c r="N234" i="3" s="1"/>
  <c r="K134" i="8"/>
  <c r="K108" i="8"/>
  <c r="K55" i="8"/>
  <c r="K44" i="8"/>
  <c r="N56" i="3"/>
  <c r="K13" i="8"/>
  <c r="K34" i="8"/>
  <c r="K117" i="8"/>
  <c r="K26" i="8"/>
  <c r="J10" i="7"/>
  <c r="I87" i="8"/>
  <c r="M322" i="3" s="1"/>
  <c r="N322" i="3" s="1"/>
  <c r="D12" i="10" l="1"/>
  <c r="D13" i="10" s="1"/>
  <c r="D15" i="10"/>
  <c r="D16" i="10" s="1"/>
  <c r="M372" i="3"/>
  <c r="M375" i="3" s="1"/>
  <c r="N374" i="3" s="1"/>
  <c r="N368" i="3"/>
  <c r="M325" i="3"/>
  <c r="N321" i="3"/>
  <c r="M237" i="3"/>
  <c r="N233" i="3"/>
  <c r="M155" i="3"/>
  <c r="N154" i="3" s="1"/>
  <c r="N151" i="3"/>
  <c r="M132" i="3"/>
  <c r="N131" i="3" s="1"/>
  <c r="N128" i="3"/>
  <c r="N81" i="3"/>
  <c r="M85" i="3"/>
  <c r="N84" i="3" s="1"/>
  <c r="N257" i="3"/>
  <c r="M261" i="3"/>
  <c r="F62" i="21"/>
  <c r="F67" i="7"/>
  <c r="F60" i="21"/>
  <c r="N347" i="3"/>
  <c r="M351" i="3"/>
  <c r="N350" i="3" s="1"/>
  <c r="N212" i="3"/>
  <c r="M216" i="3"/>
  <c r="N215" i="3" s="1"/>
  <c r="F61" i="21"/>
  <c r="F55" i="7"/>
  <c r="F63" i="21"/>
  <c r="M109" i="3"/>
  <c r="N108" i="3" s="1"/>
  <c r="F57" i="7" s="1"/>
  <c r="J57" i="7" s="1"/>
  <c r="N105" i="3"/>
  <c r="F56" i="7" s="1"/>
  <c r="J56" i="7" s="1"/>
  <c r="F168" i="7"/>
  <c r="F68" i="21"/>
  <c r="F64" i="21"/>
  <c r="F105" i="7"/>
  <c r="D18" i="10"/>
  <c r="N18" i="10" s="1"/>
  <c r="J316" i="7"/>
  <c r="J344" i="7"/>
  <c r="N371" i="3"/>
  <c r="F24" i="10"/>
  <c r="F25" i="10" s="1"/>
  <c r="E24" i="10"/>
  <c r="E25" i="10" s="1"/>
  <c r="L24" i="10"/>
  <c r="L25" i="10" s="1"/>
  <c r="G24" i="10"/>
  <c r="G25" i="10" s="1"/>
  <c r="D24" i="10"/>
  <c r="J24" i="10"/>
  <c r="J25" i="10" s="1"/>
  <c r="M24" i="10"/>
  <c r="M25" i="10" s="1"/>
  <c r="H24" i="10"/>
  <c r="H25" i="10" s="1"/>
  <c r="K24" i="10"/>
  <c r="I24" i="10"/>
  <c r="I25" i="10" s="1"/>
  <c r="K74" i="8"/>
  <c r="K64" i="8"/>
  <c r="K87" i="8"/>
  <c r="M59" i="3"/>
  <c r="N55" i="3"/>
  <c r="K25" i="10" l="1"/>
  <c r="J12" i="10"/>
  <c r="J13" i="10" s="1"/>
  <c r="N15" i="10"/>
  <c r="D19" i="10"/>
  <c r="M12" i="10"/>
  <c r="M13" i="10" s="1"/>
  <c r="F59" i="21"/>
  <c r="F31" i="7"/>
  <c r="F79" i="21"/>
  <c r="F186" i="21"/>
  <c r="F170" i="7"/>
  <c r="J170" i="7" s="1"/>
  <c r="F178" i="21"/>
  <c r="F45" i="7"/>
  <c r="J45" i="7" s="1"/>
  <c r="F81" i="21"/>
  <c r="F80" i="7"/>
  <c r="J80" i="7" s="1"/>
  <c r="F67" i="21"/>
  <c r="J64" i="21"/>
  <c r="M64" i="21"/>
  <c r="L64" i="21"/>
  <c r="F179" i="21"/>
  <c r="M61" i="21"/>
  <c r="L61" i="21"/>
  <c r="J61" i="21"/>
  <c r="F88" i="21"/>
  <c r="F169" i="7"/>
  <c r="J169" i="7" s="1"/>
  <c r="M62" i="21"/>
  <c r="L62" i="21"/>
  <c r="J62" i="21"/>
  <c r="F78" i="21"/>
  <c r="F44" i="7"/>
  <c r="J44" i="7" s="1"/>
  <c r="F181" i="21"/>
  <c r="F81" i="7"/>
  <c r="J81" i="7" s="1"/>
  <c r="M328" i="3"/>
  <c r="N327" i="3" s="1"/>
  <c r="N324" i="3"/>
  <c r="F89" i="21"/>
  <c r="F181" i="7"/>
  <c r="J181" i="7" s="1"/>
  <c r="F187" i="21"/>
  <c r="F182" i="7"/>
  <c r="J182" i="7" s="1"/>
  <c r="L68" i="21"/>
  <c r="M68" i="21"/>
  <c r="J68" i="21"/>
  <c r="F182" i="21"/>
  <c r="F107" i="7"/>
  <c r="J107" i="7" s="1"/>
  <c r="N260" i="3"/>
  <c r="M264" i="3"/>
  <c r="N263" i="3" s="1"/>
  <c r="F80" i="21"/>
  <c r="F68" i="7"/>
  <c r="J68" i="7" s="1"/>
  <c r="F65" i="21"/>
  <c r="F117" i="7"/>
  <c r="F69" i="21"/>
  <c r="F180" i="7"/>
  <c r="L49" i="21"/>
  <c r="M63" i="21"/>
  <c r="J63" i="21"/>
  <c r="L63" i="21"/>
  <c r="F83" i="21"/>
  <c r="F106" i="7"/>
  <c r="J106" i="7" s="1"/>
  <c r="L60" i="21"/>
  <c r="J60" i="21"/>
  <c r="M60" i="21"/>
  <c r="F66" i="21"/>
  <c r="F180" i="21"/>
  <c r="F69" i="7"/>
  <c r="J69" i="7" s="1"/>
  <c r="M240" i="3"/>
  <c r="N239" i="3" s="1"/>
  <c r="N236" i="3"/>
  <c r="I12" i="10"/>
  <c r="I13" i="10" s="1"/>
  <c r="G12" i="10"/>
  <c r="G13" i="10" s="1"/>
  <c r="L12" i="10"/>
  <c r="L13" i="10" s="1"/>
  <c r="F12" i="10"/>
  <c r="F13" i="10" s="1"/>
  <c r="E12" i="10"/>
  <c r="E13" i="10" s="1"/>
  <c r="K12" i="10"/>
  <c r="K13" i="10" s="1"/>
  <c r="H12" i="10"/>
  <c r="H13" i="10" s="1"/>
  <c r="D25" i="10"/>
  <c r="N24" i="10"/>
  <c r="M62" i="3"/>
  <c r="N58" i="3"/>
  <c r="F29" i="13" l="1"/>
  <c r="J29" i="13" s="1"/>
  <c r="J31" i="7"/>
  <c r="K31" i="7" s="1"/>
  <c r="L31" i="7" s="1"/>
  <c r="L32" i="7" s="1"/>
  <c r="F77" i="21"/>
  <c r="F32" i="7"/>
  <c r="L180" i="21"/>
  <c r="M180" i="21"/>
  <c r="J180" i="21"/>
  <c r="F184" i="21"/>
  <c r="F131" i="7"/>
  <c r="J131" i="7" s="1"/>
  <c r="J187" i="21"/>
  <c r="M187" i="21"/>
  <c r="L187" i="21"/>
  <c r="F185" i="21"/>
  <c r="F158" i="7"/>
  <c r="J158" i="7" s="1"/>
  <c r="L78" i="21"/>
  <c r="M78" i="21"/>
  <c r="J78" i="21"/>
  <c r="M65" i="21"/>
  <c r="L65" i="21"/>
  <c r="J65" i="21"/>
  <c r="F85" i="21"/>
  <c r="F130" i="7"/>
  <c r="J130" i="7" s="1"/>
  <c r="J182" i="21"/>
  <c r="L182" i="21"/>
  <c r="M182" i="21"/>
  <c r="L88" i="21"/>
  <c r="J88" i="21"/>
  <c r="M88" i="21"/>
  <c r="J81" i="21"/>
  <c r="M81" i="21"/>
  <c r="L81" i="21"/>
  <c r="F84" i="21"/>
  <c r="F118" i="7"/>
  <c r="J118" i="7" s="1"/>
  <c r="F183" i="21"/>
  <c r="F119" i="7"/>
  <c r="J119" i="7" s="1"/>
  <c r="M66" i="21"/>
  <c r="J66" i="21"/>
  <c r="L66" i="21"/>
  <c r="J89" i="21"/>
  <c r="L89" i="21"/>
  <c r="M89" i="21"/>
  <c r="L51" i="21"/>
  <c r="M181" i="21"/>
  <c r="L181" i="21"/>
  <c r="J181" i="21"/>
  <c r="M179" i="21"/>
  <c r="J179" i="21"/>
  <c r="L179" i="21"/>
  <c r="M83" i="21"/>
  <c r="L83" i="21"/>
  <c r="J83" i="21"/>
  <c r="M69" i="21"/>
  <c r="L69" i="21"/>
  <c r="J69" i="21"/>
  <c r="J80" i="21"/>
  <c r="M80" i="21"/>
  <c r="L80" i="21"/>
  <c r="F87" i="21"/>
  <c r="F157" i="7"/>
  <c r="J157" i="7" s="1"/>
  <c r="M67" i="21"/>
  <c r="L67" i="21"/>
  <c r="J67" i="21"/>
  <c r="L178" i="21"/>
  <c r="M178" i="21"/>
  <c r="J178" i="21"/>
  <c r="L186" i="21"/>
  <c r="J186" i="21"/>
  <c r="M186" i="21"/>
  <c r="M79" i="21"/>
  <c r="L79" i="21"/>
  <c r="J79" i="21"/>
  <c r="K60" i="21"/>
  <c r="J59" i="21"/>
  <c r="M59" i="21"/>
  <c r="L59" i="21"/>
  <c r="N12" i="10"/>
  <c r="J166" i="7"/>
  <c r="J206" i="7"/>
  <c r="J41" i="7"/>
  <c r="N61" i="3"/>
  <c r="F30" i="13" l="1"/>
  <c r="J30" i="13" s="1"/>
  <c r="J32" i="7"/>
  <c r="K59" i="21"/>
  <c r="F177" i="21"/>
  <c r="F33" i="7"/>
  <c r="L77" i="21"/>
  <c r="J77" i="21"/>
  <c r="M77" i="21"/>
  <c r="L183" i="21"/>
  <c r="J183" i="21"/>
  <c r="M183" i="21"/>
  <c r="J84" i="21"/>
  <c r="L84" i="21"/>
  <c r="M84" i="21"/>
  <c r="J184" i="21"/>
  <c r="L184" i="21"/>
  <c r="M184" i="21"/>
  <c r="L87" i="21"/>
  <c r="J87" i="21"/>
  <c r="M87" i="21"/>
  <c r="L85" i="21"/>
  <c r="M85" i="21"/>
  <c r="J85" i="21"/>
  <c r="J185" i="21"/>
  <c r="M185" i="21"/>
  <c r="L185" i="21"/>
  <c r="J53" i="7"/>
  <c r="J115" i="7"/>
  <c r="J77" i="7"/>
  <c r="J178" i="7"/>
  <c r="J65" i="7"/>
  <c r="F31" i="13" l="1"/>
  <c r="J31" i="13" s="1"/>
  <c r="J33" i="7"/>
  <c r="J29" i="7" s="1"/>
  <c r="K77" i="21"/>
  <c r="L177" i="21"/>
  <c r="L251" i="21" s="1"/>
  <c r="J177" i="21"/>
  <c r="J252" i="21" s="1"/>
  <c r="M177" i="21"/>
  <c r="M251" i="21" s="1"/>
  <c r="J103" i="7"/>
  <c r="J127" i="7"/>
  <c r="J154" i="7"/>
  <c r="J39" i="13"/>
  <c r="J370" i="7" l="1"/>
  <c r="C27" i="10"/>
  <c r="E27" i="10" s="1"/>
  <c r="E28" i="10" s="1"/>
  <c r="G27" i="10" l="1"/>
  <c r="G28" i="10" s="1"/>
  <c r="D27" i="10"/>
  <c r="D28" i="10" s="1"/>
  <c r="F27" i="10"/>
  <c r="F28" i="10" s="1"/>
  <c r="I30" i="10"/>
  <c r="E30" i="10"/>
  <c r="H30" i="10"/>
  <c r="D30" i="10"/>
  <c r="G30" i="10"/>
  <c r="F30" i="10"/>
  <c r="M30" i="10"/>
  <c r="M31" i="10" s="1"/>
  <c r="L30" i="10"/>
  <c r="L31" i="10" s="1"/>
  <c r="N27" i="10" l="1"/>
  <c r="N30" i="10"/>
  <c r="K31" i="10"/>
  <c r="I31" i="10"/>
  <c r="F31" i="10"/>
  <c r="J31" i="10"/>
  <c r="H31" i="10"/>
  <c r="G31" i="10"/>
  <c r="E31" i="10"/>
  <c r="D31" i="10"/>
  <c r="J28" i="13" l="1"/>
  <c r="J21" i="10" l="1"/>
  <c r="J34" i="10" s="1"/>
  <c r="J56" i="13"/>
  <c r="J57" i="13" l="1"/>
  <c r="D21" i="10"/>
  <c r="D34" i="10" s="1"/>
  <c r="D35" i="10" s="1"/>
  <c r="E21" i="10"/>
  <c r="E34" i="10" s="1"/>
  <c r="F21" i="10"/>
  <c r="F34" i="10" s="1"/>
  <c r="H21" i="10"/>
  <c r="H34" i="10" s="1"/>
  <c r="I21" i="10"/>
  <c r="I34" i="10" s="1"/>
  <c r="M21" i="10"/>
  <c r="M22" i="10" s="1"/>
  <c r="K21" i="10"/>
  <c r="K34" i="10" s="1"/>
  <c r="L21" i="10"/>
  <c r="G21" i="10"/>
  <c r="G34" i="10" s="1"/>
  <c r="J22" i="10"/>
  <c r="D22" i="10" l="1"/>
  <c r="D36" i="10"/>
  <c r="J36" i="10"/>
  <c r="E35" i="10"/>
  <c r="F35" i="10" s="1"/>
  <c r="G35" i="10" s="1"/>
  <c r="H35" i="10" s="1"/>
  <c r="I35" i="10" s="1"/>
  <c r="J35" i="10" s="1"/>
  <c r="N34" i="10" s="1"/>
  <c r="I36" i="10"/>
  <c r="I22" i="10"/>
  <c r="F22" i="10"/>
  <c r="E22" i="10"/>
  <c r="H22" i="10"/>
  <c r="K22" i="10"/>
  <c r="G22" i="10"/>
  <c r="H36" i="10"/>
  <c r="F36" i="10"/>
  <c r="K36" i="10"/>
  <c r="G36" i="10"/>
  <c r="E36" i="10"/>
  <c r="M34" i="10"/>
  <c r="M36" i="10" s="1"/>
  <c r="N21" i="10"/>
  <c r="L34" i="10"/>
  <c r="L36" i="10" s="1"/>
  <c r="L22" i="10"/>
  <c r="N36" i="10" l="1"/>
  <c r="L35" i="10"/>
  <c r="M35" i="10" s="1"/>
</calcChain>
</file>

<file path=xl/sharedStrings.xml><?xml version="1.0" encoding="utf-8"?>
<sst xmlns="http://schemas.openxmlformats.org/spreadsheetml/2006/main" count="4611" uniqueCount="838">
  <si>
    <t>PREFEITURA MUNICIPAL DE ARAPIRACA</t>
  </si>
  <si>
    <t>SECRETARIA MUNICIPAL DE INFRAESTRUTURA</t>
  </si>
  <si>
    <t>Objeto:</t>
  </si>
  <si>
    <t>Item</t>
  </si>
  <si>
    <t>Código</t>
  </si>
  <si>
    <t>1.0</t>
  </si>
  <si>
    <t>SERVIÇOS PRELIMINARES</t>
  </si>
  <si>
    <t>PLANILHA ORÇAMENTÁRIA</t>
  </si>
  <si>
    <t>ADMINISTRAÇÃO LOCAL</t>
  </si>
  <si>
    <t>1.1</t>
  </si>
  <si>
    <t>SINAPI</t>
  </si>
  <si>
    <t>ENGENHEIRO CIVIL DE OBRA JUNIOR COM ENCARGOS COMPLEMENTARES</t>
  </si>
  <si>
    <t>H</t>
  </si>
  <si>
    <t>ENCARREGADO GERAL COM ENCARGOS COMPLEMENTARES</t>
  </si>
  <si>
    <t>Sistema</t>
  </si>
  <si>
    <t>Discriminação</t>
  </si>
  <si>
    <t>Unid.</t>
  </si>
  <si>
    <t>Quant.</t>
  </si>
  <si>
    <t>Valor unit (R$)</t>
  </si>
  <si>
    <t>Valor do BDI</t>
  </si>
  <si>
    <t>Valor unitário c/BDI</t>
  </si>
  <si>
    <t>Valor total</t>
  </si>
  <si>
    <t>DATA BASE: (SINAPI/SICRO)</t>
  </si>
  <si>
    <t>ENCARGOS SOCIAIS</t>
  </si>
  <si>
    <t xml:space="preserve">BDI SERVIÇO: </t>
  </si>
  <si>
    <t xml:space="preserve">LOCAL: </t>
  </si>
  <si>
    <t>2.0</t>
  </si>
  <si>
    <t>2.1</t>
  </si>
  <si>
    <t>4813 - INSUMO</t>
  </si>
  <si>
    <t>PLACA DE OBRA (PARA CONSTRUCAO CIVIL) EM CHAPA GALVANIZADA *N. 22*, ADESIVADA DE *2,0 X 1,125* M</t>
  </si>
  <si>
    <t>M2</t>
  </si>
  <si>
    <t>3.0</t>
  </si>
  <si>
    <t>3.1</t>
  </si>
  <si>
    <t>SERVIÇOS TERRAPLENAGEM</t>
  </si>
  <si>
    <t>M3</t>
  </si>
  <si>
    <t>TRANSPORTE COM CAMINHÃO BASCULANTE DE 10 M3, EM VIA URBANA PAVIMENTADA M3XKM, DMT ATÉ 30 KM (UNIDADE: M3XKM). AF_12/2016</t>
  </si>
  <si>
    <t>M3xKM</t>
  </si>
  <si>
    <t>SINPAI</t>
  </si>
  <si>
    <t>REGULARIZAÇÃO E COMPACTAÇÃO DE SUBLEITO DE SOLO REDOMINANTEMENTE ARENOSO. AF_11/2019</t>
  </si>
  <si>
    <t>3.2</t>
  </si>
  <si>
    <t>SERVIÇO DE PAVIMENTAÇÃO</t>
  </si>
  <si>
    <t>LOCAÇÃO DE PAVIMENTAÇÃO. AF_10/2018</t>
  </si>
  <si>
    <t>M</t>
  </si>
  <si>
    <t>COMPOSIÇÃO 01</t>
  </si>
  <si>
    <t>PAVIMENTO EM PARALELEPIPEDO SOBRE COLCHAO DE AREIA REJUNTADO COM ARGAMASSA DE CIMENTO E AREIA NO TRAÇO 1:3 (PEDRAS PEQUENAS 30 A 35 PECAS POR M2)</t>
  </si>
  <si>
    <t>CARGA, MANOBRA E DESCARGA DE SOLOS E MATERIAIS GRANULARES EM CAMINHÃO BASCULANTE 6 M³ - CARGA COM PÁ CARREGADEIRA (CAÇAMBA DE 1,7 A 2,8 M³/128 HP) E DESCARGA LIVRE</t>
  </si>
  <si>
    <t>3.3</t>
  </si>
  <si>
    <t>SERVIÇO DE DRENAGEM</t>
  </si>
  <si>
    <t>LOCAÇÃO DE REDE DE DRENAGEM</t>
  </si>
  <si>
    <t>ASSENTAMENTO DE GUIA (MEIO-FIO) EM TRECHO RETO, CONFECCIONADA EM CONCRETO PRÉ-FABRICADO, DIMENSÕES 100X15X13X30 CM (COMPRIMENTO X BASE INFERIOR X BASE SUPERIOR X ALTURA), PARA VIAS URBANAS (USO VIÁRIO). AF_06/2016</t>
  </si>
  <si>
    <t>ESCAVAÇÃO MECANIZADA DE VALA COM PROF. ATÉ 1,5 M (MÉDIA ENTRE MONTANTE E JUSANTE/UMA COMPOSIÇÃO POR TRECHO), COM ESCAVADEIRA HIDRÁULICA (0,8M3), LARG. DE 1,5 M A 2,5 M, EM SOLO DE 1A CATEGORIA, EM LOCAIS COM ALTO NÍVEL DE INTERFERÊNCIA. AF_01/2015</t>
  </si>
  <si>
    <t>ESCAVAÇÃO MECANIZADA DE VALA COM PROF. MAIOR QUE 1,5 M ATÉ 3,0 M (MÉDIA ENTRE MONTANTE E JUSANTE/UMA COMPOSIÇÃO POR TRECHO), COM ESCAVADEIRA HIDRÁULICA (0,8 M3/111 HP), LARG. DE 1,5 M A 2,5 M, EM SOLO DE 1A CATEGORIA, EM LOCAIS COM ALTO NÍVEL DE INTERFERÊNCIA. AF_01/2015</t>
  </si>
  <si>
    <t>TUBO DE CONCRETO PARA REDES COLETORAS DE ÁGUAS PLUVIAIS, DIÂMETRO DE 600 MM, JUNTA RÍGIDA, INSTALADO EM LOCAL COM BAIXO NÍVEL DE INTERFERÊNCIAS - FORNECIMENTO E ASSENTAMENTO. AF_12/2016</t>
  </si>
  <si>
    <t>PREPARO DE FUNDO DE VALA COM LARGURA MAIOR OU IGUAL A 1,5 M E MENOR QUE 2,5 M, COM CAMADA DE AREIA, LANÇAMENTO MANUAL. AF_08/2020</t>
  </si>
  <si>
    <t>TRANSPORTE LOCAL COM CAMINHÃO BASCULANTE 6 M³, RODOVIA PAVIMENTADA (BOTA-FORA)</t>
  </si>
  <si>
    <t>M3XKM</t>
  </si>
  <si>
    <t>BASE PARA POÇO DE VISITA RETANGULAR PARA DRENAGEM, EM ALVENARIA COM BLOCOS DE CONCRETO, DIMENSÕES INTERNAS = 1,5 X 1,5 M, PROFUNDIDADE = 1,45 M, EXCLUINDO TAMPÃO. AF_05/2018</t>
  </si>
  <si>
    <t>UNID</t>
  </si>
  <si>
    <t>ACRÉSCIMO PARA POÇO DE VISITA RETANGULAR PARA DRENAGEM, EM ALVENARIA COM BLOCOS DE CONCRETO, DIMENSÕES INTERNAS = 1,5X1,5 M. AF_05/2018</t>
  </si>
  <si>
    <t>ORSE</t>
  </si>
  <si>
    <t>4.0</t>
  </si>
  <si>
    <t>4.1</t>
  </si>
  <si>
    <t>4.1.1</t>
  </si>
  <si>
    <t>4.1.2</t>
  </si>
  <si>
    <t>4.1.3</t>
  </si>
  <si>
    <t>4.2</t>
  </si>
  <si>
    <t>4.2.1</t>
  </si>
  <si>
    <t>4.2.2</t>
  </si>
  <si>
    <t>4.2.3</t>
  </si>
  <si>
    <t>4.2.4</t>
  </si>
  <si>
    <t>4.3</t>
  </si>
  <si>
    <t>5.0</t>
  </si>
  <si>
    <t>5.1</t>
  </si>
  <si>
    <t>5.1.1</t>
  </si>
  <si>
    <t>5.1.2</t>
  </si>
  <si>
    <t>5.1.3</t>
  </si>
  <si>
    <t>5.2</t>
  </si>
  <si>
    <t>5.2.1</t>
  </si>
  <si>
    <t>5.2.2</t>
  </si>
  <si>
    <t>5.2.3</t>
  </si>
  <si>
    <t>5.2.4</t>
  </si>
  <si>
    <t>5.3</t>
  </si>
  <si>
    <t>6.0</t>
  </si>
  <si>
    <t>6.1</t>
  </si>
  <si>
    <t>6.1.1</t>
  </si>
  <si>
    <t>6.1.2</t>
  </si>
  <si>
    <t>6.1.3</t>
  </si>
  <si>
    <t>6.2</t>
  </si>
  <si>
    <t>6.2.1</t>
  </si>
  <si>
    <t>6.2.2</t>
  </si>
  <si>
    <t>6.2.3</t>
  </si>
  <si>
    <t>6.2.4</t>
  </si>
  <si>
    <t>6.3</t>
  </si>
  <si>
    <t>7.0</t>
  </si>
  <si>
    <t>7.1</t>
  </si>
  <si>
    <t>7.1.1</t>
  </si>
  <si>
    <t>7.1.2</t>
  </si>
  <si>
    <t>7.1.3</t>
  </si>
  <si>
    <t>7.2</t>
  </si>
  <si>
    <t>7.2.1</t>
  </si>
  <si>
    <t>7.2.2</t>
  </si>
  <si>
    <t>7.2.3</t>
  </si>
  <si>
    <t>7.2.4</t>
  </si>
  <si>
    <t>8.0</t>
  </si>
  <si>
    <t>8.1</t>
  </si>
  <si>
    <t>8.1.1</t>
  </si>
  <si>
    <t>8.1.2</t>
  </si>
  <si>
    <t>8.1.3</t>
  </si>
  <si>
    <t>8.2</t>
  </si>
  <si>
    <t>8.2.1</t>
  </si>
  <si>
    <t>8.2.2</t>
  </si>
  <si>
    <t>8.2.3</t>
  </si>
  <si>
    <t>8.2.4</t>
  </si>
  <si>
    <t>9.0</t>
  </si>
  <si>
    <t>9.1</t>
  </si>
  <si>
    <t>9.1.1</t>
  </si>
  <si>
    <t>9.1.2</t>
  </si>
  <si>
    <t>9.1.3</t>
  </si>
  <si>
    <t>9.2</t>
  </si>
  <si>
    <t>9.2.1</t>
  </si>
  <si>
    <t>9.2.2</t>
  </si>
  <si>
    <t>9.2.3</t>
  </si>
  <si>
    <t>9.2.4</t>
  </si>
  <si>
    <t>10.0</t>
  </si>
  <si>
    <t>10.1</t>
  </si>
  <si>
    <t>10.1.1</t>
  </si>
  <si>
    <t>10.1.2</t>
  </si>
  <si>
    <t>10.1.3</t>
  </si>
  <si>
    <t>10.2</t>
  </si>
  <si>
    <t>10.2.1</t>
  </si>
  <si>
    <t>10.2.2</t>
  </si>
  <si>
    <t>10.2.3</t>
  </si>
  <si>
    <t>10.2.4</t>
  </si>
  <si>
    <t>11.0</t>
  </si>
  <si>
    <t>11.1</t>
  </si>
  <si>
    <t>11.1.1</t>
  </si>
  <si>
    <t>11.1.2</t>
  </si>
  <si>
    <t>11.1.3</t>
  </si>
  <si>
    <t>11.2</t>
  </si>
  <si>
    <t>11.2.1</t>
  </si>
  <si>
    <t>11.2.2</t>
  </si>
  <si>
    <t>11.2.3</t>
  </si>
  <si>
    <t>11.2.4</t>
  </si>
  <si>
    <t>12.0</t>
  </si>
  <si>
    <t>12.1</t>
  </si>
  <si>
    <t>12.1.1</t>
  </si>
  <si>
    <t>12.1.2</t>
  </si>
  <si>
    <t>12.1.3</t>
  </si>
  <si>
    <t>12.2</t>
  </si>
  <si>
    <t>12.2.1</t>
  </si>
  <si>
    <t>12.2.2</t>
  </si>
  <si>
    <t>12.2.3</t>
  </si>
  <si>
    <t>12.2.4</t>
  </si>
  <si>
    <t>13.0</t>
  </si>
  <si>
    <t>13.1</t>
  </si>
  <si>
    <t>13.1.1</t>
  </si>
  <si>
    <t>13.1.2</t>
  </si>
  <si>
    <t>13.1.3</t>
  </si>
  <si>
    <t>RUA PROJETADA 02</t>
  </si>
  <si>
    <t>13.2</t>
  </si>
  <si>
    <t>13.2.1</t>
  </si>
  <si>
    <t>13.2.2</t>
  </si>
  <si>
    <t>13.2.3</t>
  </si>
  <si>
    <t>13.2.4</t>
  </si>
  <si>
    <t>14.0</t>
  </si>
  <si>
    <t>14.1</t>
  </si>
  <si>
    <t>14.1.1</t>
  </si>
  <si>
    <t>14.1.2</t>
  </si>
  <si>
    <t>14.1.3</t>
  </si>
  <si>
    <t>14.2</t>
  </si>
  <si>
    <t>14.2.1</t>
  </si>
  <si>
    <t>14.2.2</t>
  </si>
  <si>
    <t>14.2.3</t>
  </si>
  <si>
    <t>14.2.4</t>
  </si>
  <si>
    <t>14.3</t>
  </si>
  <si>
    <t>14.3.1</t>
  </si>
  <si>
    <t>14.3.2</t>
  </si>
  <si>
    <t>MEMÓRIA DE CÁLCULO</t>
  </si>
  <si>
    <t>MEMÓRIAS</t>
  </si>
  <si>
    <t>ITEM</t>
  </si>
  <si>
    <t>DISCRIMINAÇÃO</t>
  </si>
  <si>
    <t>UND</t>
  </si>
  <si>
    <t>LARG.</t>
  </si>
  <si>
    <t>COMP.</t>
  </si>
  <si>
    <t>ALT.</t>
  </si>
  <si>
    <t>ÁREA 
CAD</t>
  </si>
  <si>
    <t>PERÍM
CAD</t>
  </si>
  <si>
    <t>N (QTD)</t>
  </si>
  <si>
    <t>DESCONTO</t>
  </si>
  <si>
    <t>MULTIP</t>
  </si>
  <si>
    <t>ÁREA</t>
  </si>
  <si>
    <t xml:space="preserve">VOLUME </t>
  </si>
  <si>
    <t>TOTAL
P/ ORÇTO</t>
  </si>
  <si>
    <t>VALOR</t>
  </si>
  <si>
    <t>%</t>
  </si>
  <si>
    <t>Valor</t>
  </si>
  <si>
    <t>Mês</t>
  </si>
  <si>
    <t>PLACA DE OBRA (PARA CONSTRUCAO CIVIL) EM CHAPA GALVANIZADA *N. 22*, ADESIVADA</t>
  </si>
  <si>
    <t>COMPOSIÇÕES</t>
  </si>
  <si>
    <t xml:space="preserve">COMPOSIÇÃO - 01 </t>
  </si>
  <si>
    <t>CÓDIGO</t>
  </si>
  <si>
    <t>FONTE</t>
  </si>
  <si>
    <t xml:space="preserve"> DESCRIÇÃO</t>
  </si>
  <si>
    <t>QTDADE</t>
  </si>
  <si>
    <t>VALOR UNIT.</t>
  </si>
  <si>
    <t>VALOR TOTAL</t>
  </si>
  <si>
    <t>TOTAL</t>
  </si>
  <si>
    <t>MAPA DE CUBAÇÃO</t>
  </si>
  <si>
    <t>DESCRIÇÃO</t>
  </si>
  <si>
    <t>COTA DO TERRENO</t>
  </si>
  <si>
    <t>COTA DO GREIDE</t>
  </si>
  <si>
    <t>DIFER.</t>
  </si>
  <si>
    <t>DIST. MÉDIA</t>
  </si>
  <si>
    <t>CORTE  (m³)</t>
  </si>
  <si>
    <t>ATERRO (m³)</t>
  </si>
  <si>
    <t>CARGA (m³)</t>
  </si>
  <si>
    <t>REAT.  (m³)</t>
  </si>
  <si>
    <t>ESTACA 00</t>
  </si>
  <si>
    <t>ESTACA 01</t>
  </si>
  <si>
    <t>ESTACA 02</t>
  </si>
  <si>
    <t>ESTACA 03</t>
  </si>
  <si>
    <t>ESTACA 04</t>
  </si>
  <si>
    <t>ESTACA 05</t>
  </si>
  <si>
    <t>ESTACA 06</t>
  </si>
  <si>
    <t>ESTACA 07</t>
  </si>
  <si>
    <t>ESTACA 08</t>
  </si>
  <si>
    <t>ESTACA 09</t>
  </si>
  <si>
    <t>ESTACA 10</t>
  </si>
  <si>
    <t>ESTACA 11</t>
  </si>
  <si>
    <t>ESTACA 12</t>
  </si>
  <si>
    <t>ESTACA 13</t>
  </si>
  <si>
    <t>ESTACA 14</t>
  </si>
  <si>
    <t>ESTACA 15</t>
  </si>
  <si>
    <t>ESTACA 16</t>
  </si>
  <si>
    <t>ESTACA 17</t>
  </si>
  <si>
    <t>RUA PROJETADA 01</t>
  </si>
  <si>
    <t>PLANILHA DE DIMENSIONAMENTO DA DRENAGEM DE ÁGUAS PLUVIAIS NAS GALERIAS</t>
  </si>
  <si>
    <t>Coletor</t>
  </si>
  <si>
    <t>Trecho</t>
  </si>
  <si>
    <t>Extensão (m)</t>
  </si>
  <si>
    <t>Q (m³/s)</t>
  </si>
  <si>
    <t>Φ (mm)</t>
  </si>
  <si>
    <t>Decl. (m/m)</t>
  </si>
  <si>
    <t>Y/D</t>
  </si>
  <si>
    <t>Vel. real (m/s)</t>
  </si>
  <si>
    <t>Q seção plena (m³/s)</t>
  </si>
  <si>
    <t>V seção plena (m/s)</t>
  </si>
  <si>
    <t>Cota ter. montante (m)</t>
  </si>
  <si>
    <t>Cota ter. jusante (m)</t>
  </si>
  <si>
    <t>Cota GI gal. montante (m)</t>
  </si>
  <si>
    <t>Cota GI gal. jusante (m)</t>
  </si>
  <si>
    <t>Prof. Gal. Montante (m)</t>
  </si>
  <si>
    <t>Prof. Gal. Jusante (m)</t>
  </si>
  <si>
    <t>Prof. Média (m)</t>
  </si>
  <si>
    <t>n Manning</t>
  </si>
  <si>
    <t>Larg. Vala</t>
  </si>
  <si>
    <t>Material</t>
  </si>
  <si>
    <t>Escavação 0 &lt; x &lt; 1,50 (m³)</t>
  </si>
  <si>
    <t>Escavação x &gt; 1,50 (m³)</t>
  </si>
  <si>
    <t>Reaterro (m³)</t>
  </si>
  <si>
    <t>bota-fora (m³)</t>
  </si>
  <si>
    <t>Escoramento (m²)</t>
  </si>
  <si>
    <t>TIPO DE PV - mont</t>
  </si>
  <si>
    <t>CHAMINÉ</t>
  </si>
  <si>
    <t>Tubo</t>
  </si>
  <si>
    <t>CONCRETO</t>
  </si>
  <si>
    <t>TUBO DE CONCRETO PARA REDES COLETORAS DE ÁGUAS PLUVIAIS, DIÂMETRO DE 400 MM, JUNTA RÍGIDA, INSTALADO EM LOCAL COM BAIXO NÍVEL DE INTERFERÊNCIAS - FORNECIMENTO E ASSENTAMENTO. AF_12/2017</t>
  </si>
  <si>
    <t>CONCREO</t>
  </si>
  <si>
    <t>Berço de Areia (0,15 m) (m³)</t>
  </si>
  <si>
    <t>84,30% (HORA) - 46,55% (MÊS)</t>
  </si>
  <si>
    <t>ESCAVAÇÃO HORIZONTAL EM SOLO DE 1A CATEGORIA COM TRATOR DE ESTEIRAS (100HP/LÂMINA: 2,19M3). AF_07/2020</t>
  </si>
  <si>
    <t>REATERRO MANUAL DE VALAS COM COMPACTAÇÃO MECANIZADA. AF_04/2016</t>
  </si>
  <si>
    <t>ESCORAMENTO DE VALA, TIPO PONTALETEAMENTO, COM PROFUNDIDADE DE 1,5 A 3,0 M, LARGURA MAIOR OU IGUAL A 1,5 M E MENOR QUE 2,5 M. AF_08/2020</t>
  </si>
  <si>
    <t>CAIXA PARA BOCA DE LOBO COMBINADA COM GRELHA RETANGULAR, EM ALVENARIA COM BLOCOS DE CONCRETO, DIMENSÕES INTERNAS: 1,3X1X1,2 M. AF_12/2020</t>
  </si>
  <si>
    <t>FORNECIMENTO E ASSENTAMENTO DE TAMPÃO DE FERRO FUNDIDO TDA-600MM, 300KG/CM², PARA POÇO DE VISITA E CAIXAS DE PASSAGEM</t>
  </si>
  <si>
    <t>ESCORAMENTO DE VALA, TIPO PONTALETEAMENTO, COM PROFUNDIDADE DE 1,5 A 3,0 M, LARGURA MENOR QUE 1,5 M. AF_08/2020</t>
  </si>
  <si>
    <t>TOTAL GERAL(sem BDI)</t>
  </si>
  <si>
    <t xml:space="preserve"> Responsável Técnico: </t>
  </si>
  <si>
    <t>Prefeitura Municipal de Arapiraca:</t>
  </si>
  <si>
    <t xml:space="preserve">Ver Mapa de Cubação </t>
  </si>
  <si>
    <t>Fator de Empolamento (25%)</t>
  </si>
  <si>
    <t>Dist. (km) - Bota - Fora</t>
  </si>
  <si>
    <t>.</t>
  </si>
  <si>
    <t xml:space="preserve"> SERVIÇOS</t>
  </si>
  <si>
    <t>MESES</t>
  </si>
  <si>
    <t>TOTAL GERAL</t>
  </si>
  <si>
    <t>TOTAIS MENSAIS</t>
  </si>
  <si>
    <t>TOTAIS ACUMULADOS</t>
  </si>
  <si>
    <t>PERCENTUAL MENSAL</t>
  </si>
  <si>
    <t>CRONOGRAMA FÍSICO-FINANCEIRO</t>
  </si>
  <si>
    <t>5.4</t>
  </si>
  <si>
    <t>6.4</t>
  </si>
  <si>
    <t>6.5</t>
  </si>
  <si>
    <t>6.6</t>
  </si>
  <si>
    <t>6.7</t>
  </si>
  <si>
    <t>6.8</t>
  </si>
  <si>
    <t xml:space="preserve">VALOR DO BDI SERVIÇO (26,14%) </t>
  </si>
  <si>
    <t>CURVA ABC</t>
  </si>
  <si>
    <t xml:space="preserve">Porcentagem individual </t>
  </si>
  <si>
    <t>Porcentagem acumulada</t>
  </si>
  <si>
    <t>Classificação</t>
  </si>
  <si>
    <t>CLACIFICAÇÃO CURVA ABC</t>
  </si>
  <si>
    <t>Classe</t>
  </si>
  <si>
    <t>Corte</t>
  </si>
  <si>
    <t>Proporção dos itens</t>
  </si>
  <si>
    <t>Proporção de Valor</t>
  </si>
  <si>
    <t>A</t>
  </si>
  <si>
    <t>B</t>
  </si>
  <si>
    <t>C</t>
  </si>
  <si>
    <t>PROPONENTE/ TOMADOR</t>
  </si>
  <si>
    <t>OBJETO</t>
  </si>
  <si>
    <t>TIPO DE OBRA</t>
  </si>
  <si>
    <t xml:space="preserve">DESONERAÇÃO </t>
  </si>
  <si>
    <t>Médio</t>
  </si>
  <si>
    <t>PREFEITURA MUNICIPAL DE ARAPIRACA/AL</t>
  </si>
  <si>
    <t>15.0</t>
  </si>
  <si>
    <t>15.1</t>
  </si>
  <si>
    <t>15.1.1</t>
  </si>
  <si>
    <t>15.1.2</t>
  </si>
  <si>
    <t>15.1.3</t>
  </si>
  <si>
    <t>15.2</t>
  </si>
  <si>
    <t>15.2.1</t>
  </si>
  <si>
    <t>15.2.2</t>
  </si>
  <si>
    <t>15.2.3</t>
  </si>
  <si>
    <t>15.2.4</t>
  </si>
  <si>
    <t>15.3</t>
  </si>
  <si>
    <t>15.3.1</t>
  </si>
  <si>
    <t>15.3.2</t>
  </si>
  <si>
    <t>RUA PROJETADA 03</t>
  </si>
  <si>
    <t>16.0</t>
  </si>
  <si>
    <t>16.1</t>
  </si>
  <si>
    <t>16.1.1</t>
  </si>
  <si>
    <t>16.1.2</t>
  </si>
  <si>
    <t>16.1.3</t>
  </si>
  <si>
    <t>16.2</t>
  </si>
  <si>
    <t>16.2.1</t>
  </si>
  <si>
    <t>16.2.2</t>
  </si>
  <si>
    <t>16.2.3</t>
  </si>
  <si>
    <t>16.2.4</t>
  </si>
  <si>
    <t>16.3</t>
  </si>
  <si>
    <t>16.3.1</t>
  </si>
  <si>
    <t>16.3.2</t>
  </si>
  <si>
    <t>16.3.3</t>
  </si>
  <si>
    <t>16.3.4</t>
  </si>
  <si>
    <t>16.3.5</t>
  </si>
  <si>
    <t>16.3.6</t>
  </si>
  <si>
    <t>16.3.7</t>
  </si>
  <si>
    <t>16.3.8</t>
  </si>
  <si>
    <t>17.0</t>
  </si>
  <si>
    <t>17.1</t>
  </si>
  <si>
    <t>17.1.1</t>
  </si>
  <si>
    <t>17.1.2</t>
  </si>
  <si>
    <t>17.1.3</t>
  </si>
  <si>
    <t>17.2</t>
  </si>
  <si>
    <t>17.2.1</t>
  </si>
  <si>
    <t>17.2.2</t>
  </si>
  <si>
    <t>17.2.3</t>
  </si>
  <si>
    <t>17.2.4</t>
  </si>
  <si>
    <t>17.3</t>
  </si>
  <si>
    <t>17.3.1</t>
  </si>
  <si>
    <t>17.3.2</t>
  </si>
  <si>
    <t>17.3.3</t>
  </si>
  <si>
    <t>17.3.4</t>
  </si>
  <si>
    <t>17.3.5</t>
  </si>
  <si>
    <t>17.3.6</t>
  </si>
  <si>
    <t>17.3.7</t>
  </si>
  <si>
    <t>17.3.8</t>
  </si>
  <si>
    <t>18.0</t>
  </si>
  <si>
    <t>18.1</t>
  </si>
  <si>
    <t>18.1.1</t>
  </si>
  <si>
    <t>18.1.2</t>
  </si>
  <si>
    <t>18.1.3</t>
  </si>
  <si>
    <t>18.2</t>
  </si>
  <si>
    <t>18.2.1</t>
  </si>
  <si>
    <t>18.2.2</t>
  </si>
  <si>
    <t>18.2.3</t>
  </si>
  <si>
    <t>18.2.4</t>
  </si>
  <si>
    <t>19.0</t>
  </si>
  <si>
    <t>19.1</t>
  </si>
  <si>
    <t>19.1.1</t>
  </si>
  <si>
    <t>19.1.2</t>
  </si>
  <si>
    <t>19.1.3</t>
  </si>
  <si>
    <t>19.2</t>
  </si>
  <si>
    <t>19.2.1</t>
  </si>
  <si>
    <t>19.2.2</t>
  </si>
  <si>
    <t>19.2.3</t>
  </si>
  <si>
    <t>19.2.4</t>
  </si>
  <si>
    <t>20.0</t>
  </si>
  <si>
    <t>20.1</t>
  </si>
  <si>
    <t>20.1.1</t>
  </si>
  <si>
    <t>20.1.2</t>
  </si>
  <si>
    <t>20.1.3</t>
  </si>
  <si>
    <t>20.2</t>
  </si>
  <si>
    <t>20.2.1</t>
  </si>
  <si>
    <t>20.2.2</t>
  </si>
  <si>
    <t>20.2.3</t>
  </si>
  <si>
    <t>20.2.4</t>
  </si>
  <si>
    <t>20.3</t>
  </si>
  <si>
    <t>20.3.1</t>
  </si>
  <si>
    <t>20.3.2</t>
  </si>
  <si>
    <t>20.3.3</t>
  </si>
  <si>
    <t>20.3.4</t>
  </si>
  <si>
    <t>20.3.5</t>
  </si>
  <si>
    <t>20.3.6</t>
  </si>
  <si>
    <t>20.3.7</t>
  </si>
  <si>
    <t>20.3.8</t>
  </si>
  <si>
    <t>ESTACA 18</t>
  </si>
  <si>
    <t>ESTACA 19</t>
  </si>
  <si>
    <t>ESTACA 20</t>
  </si>
  <si>
    <t>ESTACA 21</t>
  </si>
  <si>
    <t>ESTACA 22</t>
  </si>
  <si>
    <t>ESTACA 23</t>
  </si>
  <si>
    <t>ESTACA 24</t>
  </si>
  <si>
    <t>ESTACA 25</t>
  </si>
  <si>
    <t>ESTACA 26</t>
  </si>
  <si>
    <t>ESTACA 27</t>
  </si>
  <si>
    <t>ESTACA 28</t>
  </si>
  <si>
    <t>ESTACA 29</t>
  </si>
  <si>
    <t>ESTACA 30</t>
  </si>
  <si>
    <t>ESTACA 31</t>
  </si>
  <si>
    <t>ESTACA 32</t>
  </si>
  <si>
    <t>ESTACA 33</t>
  </si>
  <si>
    <t>ESTACA 34</t>
  </si>
  <si>
    <t>ESTACA 35</t>
  </si>
  <si>
    <t>ESTACA 36</t>
  </si>
  <si>
    <t>ESTACA 37</t>
  </si>
  <si>
    <t>ESTACA 38</t>
  </si>
  <si>
    <t>ESTACA 39</t>
  </si>
  <si>
    <t>ESTACA 40</t>
  </si>
  <si>
    <t>ESTACA 41</t>
  </si>
  <si>
    <t>ESTACA 42</t>
  </si>
  <si>
    <t>ESTACA 43</t>
  </si>
  <si>
    <t>ESTACA 44</t>
  </si>
  <si>
    <t>ESTACA 45</t>
  </si>
  <si>
    <t>SINALIZAÇÃO DIURNA COM TELA TAPUME DE PVC</t>
  </si>
  <si>
    <t>2.2</t>
  </si>
  <si>
    <t>LOCACAO DE CONTAINER 2,30 X 6,00 M, ALT. 2,50 M, COM 1 SANITARIO, PARA ESCRITORIO, COMPLETO, SEM DIVISORIAS INTERNAS</t>
  </si>
  <si>
    <t>MÊS</t>
  </si>
  <si>
    <t>2.3</t>
  </si>
  <si>
    <t>2.4</t>
  </si>
  <si>
    <t>2.5</t>
  </si>
  <si>
    <t>2.6</t>
  </si>
  <si>
    <t>LOCACAO DE CONTAINER 2,30 X 4,30 M, ALT. 2,50 M, PARA SANITARIO, COM 3 BACIAS, 4 CHUVEIROS, 1 LAVATORIO E 1 MICTORIO</t>
  </si>
  <si>
    <t>INSTALAÇÃO PROVISÓRIA DE ENERGIA ELÉTRICA, AEREA, TRIFASICA, EM POSTE GALVANIZADO, EXCLUSIVE FORNECIMENTO DO MEDIDOR</t>
  </si>
  <si>
    <t>EXECUÇÃO DE RESERVATÓRIO ELEVADO DE ÁGUA (1000 LITROS) EM CANTEIRO DE OBRA, APOIADO EM ESTRUTURA DE MADEIRA. AF_02/2016</t>
  </si>
  <si>
    <t>CAIXA PARA BOCA DE LOBO DUPLA COMBINADA COM GRELHA RETANGULAR, EM ALVENARIA COM BLOCOS DE CONCRETO, DIMENSÕES INTERNAS: 1,3X2,2X1,2 M. AF_12/2020</t>
  </si>
  <si>
    <t>RUA ENGENHEIRO CAMILO COLLIER</t>
  </si>
  <si>
    <t>PRÓPRIA</t>
  </si>
  <si>
    <t>RUA SÃO TARCIZIO</t>
  </si>
  <si>
    <t>RUA SANTA CECÍLIA</t>
  </si>
  <si>
    <t>RUA 14/162</t>
  </si>
  <si>
    <t>RUA MATOMSALEM</t>
  </si>
  <si>
    <t>RUA FREI GALVÃO</t>
  </si>
  <si>
    <t>RUA SANTA GEMMA</t>
  </si>
  <si>
    <t>RUA SANTA MARTA</t>
  </si>
  <si>
    <t>RUA SÃO GABRIEL</t>
  </si>
  <si>
    <t>RUA PEDRO VIEIRA SAMPAIO</t>
  </si>
  <si>
    <t>RUA DUARTE COELHO</t>
  </si>
  <si>
    <t>RUA AGAPITO MAGALHÃES</t>
  </si>
  <si>
    <t>RUA JOSEFA CLARETE SANTOS</t>
  </si>
  <si>
    <t>RUA JOSEFA ROSA DE LIRA</t>
  </si>
  <si>
    <t>ADMINISTRAÇÃO LOCAL DA OBRA</t>
  </si>
  <si>
    <t>BAIRRO SÃO LUIZ</t>
  </si>
  <si>
    <t>CAMILO COLLIER</t>
  </si>
  <si>
    <t>BAIRRO CANAFÍSTULA 2</t>
  </si>
  <si>
    <t>BAIRRO PRIMAVERA</t>
  </si>
  <si>
    <t>RUA MANOEL R. DE OLIVEIRA</t>
  </si>
  <si>
    <t xml:space="preserve">CANAFÍSTULA 2, SÃO LUIZ, CAMILO COLIER E PRIMAVERA NO MUNICÍPIO DE ARAPIRACA </t>
  </si>
  <si>
    <t xml:space="preserve"> OBRAS E SERVIÇOS DE TERRAPLENAGEM, DRENAGEM DE ÁGUAS PLUVIAIS E PAVIMENTAÇÃO EM LOGRADOUROS NOS BAIRROS: CANAFÍSTULA 2, SÃO LUIZ, CAMILO COLIER E PRIMAVERA NO MUNICÍPIO DE ARAPIRACA - AL</t>
  </si>
  <si>
    <t>SINAPI - JUNHO/2021 -COM DESONERAÇÃO - ORSE - MAIO/2021</t>
  </si>
  <si>
    <t xml:space="preserve">Local: </t>
  </si>
  <si>
    <t xml:space="preserve">SERVIÇO DE DRENAGEM </t>
  </si>
  <si>
    <t>20.3.9</t>
  </si>
  <si>
    <t>20.3.10</t>
  </si>
  <si>
    <t>20.3.11</t>
  </si>
  <si>
    <t>ESTACA 02+19,00</t>
  </si>
  <si>
    <t>ESTACA 03+7,48</t>
  </si>
  <si>
    <t>ESTACA 04+7,34</t>
  </si>
  <si>
    <t>ESTACA 06+6,95</t>
  </si>
  <si>
    <t>ESTACA 03+7,92</t>
  </si>
  <si>
    <t>ESTACA 05+18,99</t>
  </si>
  <si>
    <t>RUA MOSALÉM</t>
  </si>
  <si>
    <t>ESTACA 06+6,68</t>
  </si>
  <si>
    <t xml:space="preserve">RUA FREI GALVÃO </t>
  </si>
  <si>
    <t>ESTACA 09+8,53</t>
  </si>
  <si>
    <t>ESTACA 17+4,52</t>
  </si>
  <si>
    <t>ESTACA 05+2,08</t>
  </si>
  <si>
    <t xml:space="preserve">RUA SÃO GABRIEL </t>
  </si>
  <si>
    <t>ESTACA 13+7,25</t>
  </si>
  <si>
    <t>RUA SÃO TARCISO</t>
  </si>
  <si>
    <t>ESTACA 24+8,49</t>
  </si>
  <si>
    <t>ESTACA 46</t>
  </si>
  <si>
    <t>ESTACA 47</t>
  </si>
  <si>
    <t>ESTACA 48</t>
  </si>
  <si>
    <t>ESTACA 49</t>
  </si>
  <si>
    <t>ESTACA 50</t>
  </si>
  <si>
    <t>ESTACA 51</t>
  </si>
  <si>
    <t>ESTACA 52</t>
  </si>
  <si>
    <t>ESTACA 53</t>
  </si>
  <si>
    <t>ESTACA 54</t>
  </si>
  <si>
    <t>ESTACA 55</t>
  </si>
  <si>
    <t>ESTACA 56</t>
  </si>
  <si>
    <t>ESTACA 57</t>
  </si>
  <si>
    <t>ESTACA 58</t>
  </si>
  <si>
    <t>ESTACA 59</t>
  </si>
  <si>
    <t>ESTACA 60</t>
  </si>
  <si>
    <t>ESTACA 61</t>
  </si>
  <si>
    <t>ESTACA 62</t>
  </si>
  <si>
    <t>ESTACA 63</t>
  </si>
  <si>
    <t>ESTACA 64</t>
  </si>
  <si>
    <t>ESTACA 65</t>
  </si>
  <si>
    <t>ESTACA 66</t>
  </si>
  <si>
    <t>ESTACA 67</t>
  </si>
  <si>
    <t>ESTACA 68</t>
  </si>
  <si>
    <t>ESTACA 69</t>
  </si>
  <si>
    <t>ESTACA 70</t>
  </si>
  <si>
    <t>ESTACA 71</t>
  </si>
  <si>
    <t>ESTACA 72</t>
  </si>
  <si>
    <t>ESTACA 72+13,72</t>
  </si>
  <si>
    <t>ESTACA 12+7,66</t>
  </si>
  <si>
    <t>ESTACA 06+18,75</t>
  </si>
  <si>
    <t>ESTACA 09+13,64</t>
  </si>
  <si>
    <t>RUA MANOEL ROBERTO DE OLIVEIRA</t>
  </si>
  <si>
    <t>ESTACA 14+10,29</t>
  </si>
  <si>
    <t>LIGAÇÃO - PV -04</t>
  </si>
  <si>
    <t>LIGAÇÃO - PV -05 E 06</t>
  </si>
  <si>
    <t>-</t>
  </si>
  <si>
    <t>LIGAÇÃO - PV -02</t>
  </si>
  <si>
    <t>LIGAÇÃO - PV -07</t>
  </si>
  <si>
    <t>LIGAÇÃO - PV -09</t>
  </si>
  <si>
    <t>LIGAÇÃO - PV -1A</t>
  </si>
  <si>
    <t>LIGAÇÃO - PV -2A</t>
  </si>
  <si>
    <t>LIGAÇÃO - PV -3A</t>
  </si>
  <si>
    <t>LIGAÇÃO - PV -4A</t>
  </si>
  <si>
    <t>LIGAÇÃO - PV -5A</t>
  </si>
  <si>
    <t>LIGAÇÃO - PV -6A</t>
  </si>
  <si>
    <t>LIGAÇÃO - PV -7A</t>
  </si>
  <si>
    <t>LIGAÇÃO - PV -8A</t>
  </si>
  <si>
    <t>LIGAÇÃO - PV -9A</t>
  </si>
  <si>
    <t>LIGAÇÃO - PV -11A</t>
  </si>
  <si>
    <t>LIGAÇÃO - PV -12A</t>
  </si>
  <si>
    <t>LIGAÇÃO - PV -13A</t>
  </si>
  <si>
    <t>LIGAÇÃO - PV -14A</t>
  </si>
  <si>
    <t>LIGAÇÃO - PV -15A</t>
  </si>
  <si>
    <t>LIGAÇÃO - PV -16A</t>
  </si>
  <si>
    <t>LIGAÇÃO - PV -17A</t>
  </si>
  <si>
    <t>LIGAÇÃO - PV -18A</t>
  </si>
  <si>
    <t>LIGAÇÃO - PV -19A</t>
  </si>
  <si>
    <t>LIGAÇÃO - PV -20A</t>
  </si>
  <si>
    <t>LIGAÇÃO - PV -21A</t>
  </si>
  <si>
    <t>LIGAÇÃO - PV -22A</t>
  </si>
  <si>
    <t>LIGAÇÃO PV-03</t>
  </si>
  <si>
    <t>LIGAÇÃO PV-04</t>
  </si>
  <si>
    <t>LIGAÇÃO PV-05</t>
  </si>
  <si>
    <t>LIGAÇÃO PV-06</t>
  </si>
  <si>
    <t>LIGAÇÃO PV-07</t>
  </si>
  <si>
    <t>LIGAÇÃO PV-08</t>
  </si>
  <si>
    <t>LIGAÇÃO PV-09</t>
  </si>
  <si>
    <t>LIGAÇÃO PV-28</t>
  </si>
  <si>
    <t>PV-4A- PV4</t>
  </si>
  <si>
    <t>LIGAÇÃO (PV 4A)</t>
  </si>
  <si>
    <t>LIGAÇÃO (PV 4)</t>
  </si>
  <si>
    <t>LIGAÇÃO (PV 01)</t>
  </si>
  <si>
    <t>LIGAÇÃO (PV 02)</t>
  </si>
  <si>
    <t>16.3.10</t>
  </si>
  <si>
    <t>16.3.11</t>
  </si>
  <si>
    <t>16.3.12</t>
  </si>
  <si>
    <t>16.3.13</t>
  </si>
  <si>
    <t>17.3.10</t>
  </si>
  <si>
    <t>17.3.11</t>
  </si>
  <si>
    <t>17.3.12</t>
  </si>
  <si>
    <t>20.3.12</t>
  </si>
  <si>
    <t>20.3.13</t>
  </si>
  <si>
    <t>SINALIZAÇÃO</t>
  </si>
  <si>
    <t>21013 -INSUMO</t>
  </si>
  <si>
    <t>TUBO DE AÇO GALVANIZADO COM COSTURA, CLASSE LEVE, DN 50 (2"), E=3,00 MM, *4,40* KG/M (NBR 5580)</t>
  </si>
  <si>
    <t>34723 - INSUMO</t>
  </si>
  <si>
    <t>PLACA DE SINALIZAÇÃO EM CHAPA DE AÇO NUM. 16 COM PINTURA REFLETIVA</t>
  </si>
  <si>
    <t>13521 - INSUMO</t>
  </si>
  <si>
    <t>PLACA DE ACO ESMALTADA PARA IDENTIFICACAO DE RUA, *45 CM X 20* CM</t>
  </si>
  <si>
    <t>3.4</t>
  </si>
  <si>
    <t>93358</t>
  </si>
  <si>
    <t>ESCAVAÇÃO MANUAL DE VALA COM PROFUNDIDADE MENOR OU IGUAL A 1,30 M. AF_ 03/2016</t>
  </si>
  <si>
    <t>3.5</t>
  </si>
  <si>
    <t>94963</t>
  </si>
  <si>
    <t>CONCRETO FCK = 15MPA, TRAÇO 1:3,4:3,5 (CIMENTO/ AREIA MÉDIA/ BRITA 1) - PREPARO MECÂNICO COM BETONEIRA 400 L. AF_07/2016</t>
  </si>
  <si>
    <t>COMPOSIÇÃO 02</t>
  </si>
  <si>
    <t>8.3</t>
  </si>
  <si>
    <t>8.3.1</t>
  </si>
  <si>
    <t>8.3.2</t>
  </si>
  <si>
    <t>8.3.3</t>
  </si>
  <si>
    <t>8.3.4</t>
  </si>
  <si>
    <t>8.3.5</t>
  </si>
  <si>
    <t>8.3.6</t>
  </si>
  <si>
    <t>8.3.7</t>
  </si>
  <si>
    <t>8.3.8</t>
  </si>
  <si>
    <t>8.3.9</t>
  </si>
  <si>
    <t>8.3.10</t>
  </si>
  <si>
    <t>8.3.11</t>
  </si>
  <si>
    <t>8.3.12</t>
  </si>
  <si>
    <t>LIGAÇÃO - PV -03</t>
  </si>
  <si>
    <t>11.3</t>
  </si>
  <si>
    <t>11.3.1</t>
  </si>
  <si>
    <t>11.3.2</t>
  </si>
  <si>
    <t>11.3.3</t>
  </si>
  <si>
    <t>11.3.4</t>
  </si>
  <si>
    <t>11.3.5</t>
  </si>
  <si>
    <t>11.3.6</t>
  </si>
  <si>
    <t>11.3.7</t>
  </si>
  <si>
    <t>11.3.8</t>
  </si>
  <si>
    <t>11.3.9</t>
  </si>
  <si>
    <t>11.3.10</t>
  </si>
  <si>
    <t>11.3.11</t>
  </si>
  <si>
    <t>11.3.12</t>
  </si>
  <si>
    <t>11.3.13</t>
  </si>
  <si>
    <t>14.3.3</t>
  </si>
  <si>
    <t>14.3.4</t>
  </si>
  <si>
    <t>14.3.5</t>
  </si>
  <si>
    <t>14.3.6</t>
  </si>
  <si>
    <t>14.3.7</t>
  </si>
  <si>
    <t>14.3.8</t>
  </si>
  <si>
    <t>14.3.9</t>
  </si>
  <si>
    <t>14.3.10</t>
  </si>
  <si>
    <t>14.3.11</t>
  </si>
  <si>
    <t>14.3.12</t>
  </si>
  <si>
    <t>14.3.13</t>
  </si>
  <si>
    <t>16.3.9</t>
  </si>
  <si>
    <t>18.3</t>
  </si>
  <si>
    <t>18.3.1</t>
  </si>
  <si>
    <t>18.3.2</t>
  </si>
  <si>
    <t>18.3.3</t>
  </si>
  <si>
    <t>18.3.4</t>
  </si>
  <si>
    <t>18.3.5</t>
  </si>
  <si>
    <t>18.3.6</t>
  </si>
  <si>
    <t>18.3.7</t>
  </si>
  <si>
    <t>18.3.8</t>
  </si>
  <si>
    <t>18.3.9</t>
  </si>
  <si>
    <t>18.3.10</t>
  </si>
  <si>
    <t>18.3.11</t>
  </si>
  <si>
    <t>18.3.12</t>
  </si>
  <si>
    <t>18.3.13</t>
  </si>
  <si>
    <t>20.3.14</t>
  </si>
  <si>
    <t>21.0</t>
  </si>
  <si>
    <t>21.1</t>
  </si>
  <si>
    <t>21.1.1</t>
  </si>
  <si>
    <t>21.1.2</t>
  </si>
  <si>
    <t>21.1.3</t>
  </si>
  <si>
    <t>21.2</t>
  </si>
  <si>
    <t>21.2.1</t>
  </si>
  <si>
    <t>21.2.2</t>
  </si>
  <si>
    <t>21.2.3</t>
  </si>
  <si>
    <t>21.2.4</t>
  </si>
  <si>
    <t>21.3</t>
  </si>
  <si>
    <t>21.3.1</t>
  </si>
  <si>
    <t>21.3.2</t>
  </si>
  <si>
    <t>21.3.3</t>
  </si>
  <si>
    <t>21.3.4</t>
  </si>
  <si>
    <t>21.3.5</t>
  </si>
  <si>
    <t>21.3.6</t>
  </si>
  <si>
    <t>21.3.7</t>
  </si>
  <si>
    <t>21.3.8</t>
  </si>
  <si>
    <t>21.3.9</t>
  </si>
  <si>
    <t>21.3.10</t>
  </si>
  <si>
    <t>21.3.11</t>
  </si>
  <si>
    <t>21.3.12</t>
  </si>
  <si>
    <t>17.3.9</t>
  </si>
  <si>
    <t>2662</t>
  </si>
  <si>
    <t xml:space="preserve"> 5684 </t>
  </si>
  <si>
    <t>ROLO COMPACTADOR VIBRATÓRIO DE UM CILINDRO AÇO LISO, POTÊNCIA 80 HP, PESO OPERACIONAL MÁXIMO 8,1 T, IMPACTO DINÂMICO 16,15 / 9,5 T, LARGURA DE TRABALHO 1,68 M - CHP DIURNO. AF_06/2014</t>
  </si>
  <si>
    <t>CHP</t>
  </si>
  <si>
    <t xml:space="preserve"> 5685 </t>
  </si>
  <si>
    <t>ROLO COMPACTADOR VIBRATÓRIO DE UM CILINDRO AÇO LISO, POTÊNCIA 80 HP, PESO OPERACIONAL MÁXIMO 8,1 T, IMPACTO DINÂMICO 16,15 / 9,5 T, LARGURA DE TRABALHO 1,68 M - CHI DIURNO. AF_06/2014</t>
  </si>
  <si>
    <t>CHI</t>
  </si>
  <si>
    <t xml:space="preserve"> 88260 </t>
  </si>
  <si>
    <t>CALCETEIRO COM ENCARGOS COMPLEMENTARES</t>
  </si>
  <si>
    <t xml:space="preserve"> 88316 </t>
  </si>
  <si>
    <t>SERVENTE COM ENCARGOS COMPLEMENTARES</t>
  </si>
  <si>
    <t xml:space="preserve"> 88628 </t>
  </si>
  <si>
    <t>ARGAMASSA TRAÇO 1:3 (EM VOLUME DE CIMENTO E AREIA MÉDIA ÚMIDA), PREPARO MECÂNICO COM BETONEIRA 400 L. AF_08/2019</t>
  </si>
  <si>
    <t>m³</t>
  </si>
  <si>
    <t xml:space="preserve"> 95878 </t>
  </si>
  <si>
    <t>TRANSPORTE COM CAMINHÃO BASCULANTE DE 10 M³, EM VIA URBANA PAVIMENTADA, DMT ATÉ 30 KM (UNIDADE: TXKM). AF_07/2020</t>
  </si>
  <si>
    <t>TXKM</t>
  </si>
  <si>
    <t xml:space="preserve"> 93596 </t>
  </si>
  <si>
    <t>TRANSPORTE COM CAMINHÃO BASCULANTE DE 10 M³, EM VIA URBANA PAVIMENTADA, ADICIONAL PARA DMT EXCEDENTE A 30 KM (UNIDADE: TXKM). AF_07/2020</t>
  </si>
  <si>
    <t>AREIA GROSSA - POSTO JAZIDA/FORNECEDOR (RETIRADO NA JAZIDA, SEM TRANSPORTE)</t>
  </si>
  <si>
    <t>PARALELEPIPEDO GRANITICO OU BASALTICO, PARA PAVIMENTACAO, SEM FRETE (VARIACAO REGIONAL DE PECAS POR M2)</t>
  </si>
  <si>
    <t>MIL</t>
  </si>
  <si>
    <t>EXECUÇÃO DE PAVIMENTO EM PARALELEPÍPEDOS, REJUNTAMENTO COM ARGAMASSA TRAÇO 1:3 (CIMENTO E AREIA).(PARA OBRA DE ARAPIRACA COM FRETE DA PEDRA DE MATA VERDE)) - M2</t>
  </si>
  <si>
    <t>Total</t>
  </si>
  <si>
    <t>COMPOSIÇÃO - 02</t>
  </si>
  <si>
    <t>101572</t>
  </si>
  <si>
    <t>6.9</t>
  </si>
  <si>
    <t>6.10</t>
  </si>
  <si>
    <t>6.11</t>
  </si>
  <si>
    <t>6.12</t>
  </si>
  <si>
    <t>6.13</t>
  </si>
  <si>
    <t>6.14</t>
  </si>
  <si>
    <t>6.15</t>
  </si>
  <si>
    <t>OBRAS E SERVIÇOS DE TERRAPLANAGEM, PAVIMENTAÇÃO E DRENAGEM DE ÁGUAS PLUVIAIS NOS BAIRROS SÃO LUIZ, PRIMAVERA E CANAFÍSTULA II, NO MUNICÍPIO DE ARAPIRACA/AL.</t>
  </si>
  <si>
    <t>9416/ORSE</t>
  </si>
  <si>
    <t>10775 - INSUMO</t>
  </si>
  <si>
    <t>10777 - INSUMO</t>
  </si>
  <si>
    <t>51/ORSE</t>
  </si>
  <si>
    <t>PLACA DE OBRA EM CHAPA DE AÇO GALVANIZADO, INSTALADA - M2</t>
  </si>
  <si>
    <t>MADEIRA MISTA SERRADA (BARROTE) 6 X 6CM - 0,0036 M3/M (ANGELIM, LOURO)</t>
  </si>
  <si>
    <t>PLACA DA OBRA EM CHAPA DE AÇO GALVANIZADO.</t>
  </si>
  <si>
    <t xml:space="preserve"> MADEIRA MISTA SERRADA (SARRAFO) 2,2 X 5,5CM - 0,00121 M³/M</t>
  </si>
  <si>
    <t>CARPINTEIRO DE FORMAS COM ENCARGOS COMPLEMENTARES</t>
  </si>
  <si>
    <t>PREGO DE ACO POLIDO COM CABECA 18 X 30 (2 3/4 X 10)</t>
  </si>
  <si>
    <t>KG</t>
  </si>
  <si>
    <t>SINALIZAÇÃO DIURNA COM TELA TAPUME DE PVC - M</t>
  </si>
  <si>
    <t>AÇO CA-25 6,3 A 12,5 MM</t>
  </si>
  <si>
    <t>TELA DE POLIETILENO ESTIRADO PARA TAPUMES ( MALHA 80X40 E 65X40MM) H=1,20M
ARAME GALVANIZADO 18 BWG, D = 1,24MM (0,009 KG/M)</t>
  </si>
  <si>
    <t>FORMA PLANA PARA FUNDAÇÕES, EM TÁBUAS DE PINHO, 02 USOS</t>
  </si>
  <si>
    <t>CONCRETO SIMPLES FABRICADO NA OBRA, FCK=13,5 MPA, LANÇADO E ADENSADO</t>
  </si>
  <si>
    <t>ARAME GALVANIZADO 18 BWG, D = 1,24MM (0,009 KG/M)</t>
  </si>
  <si>
    <t>COMPOSIÇÃO - 03</t>
  </si>
  <si>
    <t>INSTALAÇÃO PROVISÓRIA DE ENERGIA ELÉTRICA, AEREA, TRIFASICA, EM POSTE GALVANIZADO, EXCLUSIVE FORNECIMENTO DO MEDIDOR- UNID</t>
  </si>
  <si>
    <t>COMPOSIÇÃO - 04</t>
  </si>
  <si>
    <t>PEDREIRO COM ENCARGOS COMPLEMENTARES</t>
  </si>
  <si>
    <t>ELETRICISTA COM ENCARGOS COMPLEMENTARES</t>
  </si>
  <si>
    <t>CONCRETO FCK = 15MPA, TRAÇO 1:3,4:3,5 (CIMENTO/ AREIA MÉDIA/ BRITA 1)  - PREPARO MANUAL. AF_07/2016</t>
  </si>
  <si>
    <t>CINTA CIRCULAR EM ACO GALVANIZADO DE 150 MM DE DIAMETRO PARA FIXACAO DE CAIXA MEDICAO, INCLUI PARAFUSOS E PORCAS</t>
  </si>
  <si>
    <t>LUVA EM PVC RIGIDO ROSCAVEL, DE 1", PARA ELETRODUTO</t>
  </si>
  <si>
    <t>DISJUNTOR TIPO NEMA, TRIPOLAR 10  ATE  50A, TENSAO MAXIMA DE 415 V</t>
  </si>
  <si>
    <t>ELETRODUTO DE PVC RIGIDO ROSCAVEL DE 1 ", SEM LUVA</t>
  </si>
  <si>
    <t>!EM PROCESSO DE DESATIVACAO! HASTE DE ATERRAMENTO EM ACO COM 3,00 M DE COMPRIMENTO E DN = 5/8", REVESTIDA COM BAIXA CAMADA DE COBRE, SEM CONECTOR</t>
  </si>
  <si>
    <t>ISOLADOR DE PORCELANA, TIPO ROLDANA, DIMENSOES DE *72* X *72* MM, PARA USO EM BAIXA TENSAO</t>
  </si>
  <si>
    <t>ARRUELA EM ALUMINIO, COM ROSCA, DE 1", PARA ELETRODUTO</t>
  </si>
  <si>
    <t>BUCHA EM ALUMINIO, COM ROSCA, DE 1", PARA ELETRODUTO</t>
  </si>
  <si>
    <t>CABO DE COBRE, RIGIDO, CLASSE 2, ISOLACAO EM PVC/A, ANTICHAMA BWF-B, 1 CONDUTOR, 450/750 V, SECAO NOMINAL 16 MM2</t>
  </si>
  <si>
    <t>CAIXA INTERNA/EXTERNA DE MEDICAO PARA 1 MEDIDOR TRIFASICO, COM VISOR, EM CHAPA DE ACO 18 USG (PADRAO DA CONCESSIONARIA LOCAL)</t>
  </si>
  <si>
    <t>POSTE DE FERRO GALVANIZADO, 3" X 6M, COMPLETO, PARA ENTRADA DE ENERGIA</t>
  </si>
  <si>
    <t>CABO DE COBRE NU 16 MM2 MEIO-DURO</t>
  </si>
  <si>
    <t>FITA ACO INOX PARA CINTAR POSTE, L = 19 MM, E = 0,5 MM (ROLO DE 30M)</t>
  </si>
  <si>
    <t>PARAFUSO DE FERRO POLIDO, SEXTAVADO, COM ROSCA PARCIAL, DIAMETRO 5/8", COMPRIMENTO 6", COM PORCA E ARRUELA DE PRESSAO MEDIA</t>
  </si>
  <si>
    <t>COMPOSIÇÃO 03</t>
  </si>
  <si>
    <t>COMPOSIÇÃO 04</t>
  </si>
  <si>
    <t>ADMINISTRAÇÃO LOCAL DA OBRA - MÊS</t>
  </si>
  <si>
    <t>COMPOSIÇÃO 05</t>
  </si>
  <si>
    <t>COMPOSIÇÃO - 05</t>
  </si>
  <si>
    <t>FORNECIMENTO E ASSENTAMENTO DE TAMPÃO DE FERRO FUNDIDO TDA-600MM, 300KG/CM², PARA POÇO DE VISITA E CAIXAS DE PASSAGEM - UNID</t>
  </si>
  <si>
    <t>2662/ORSE</t>
  </si>
  <si>
    <t>TAMPAO FOFO SIMPLES COM BASE, CLASSE D400 CARGA MAX 40 T, REDONDO TAMPA 600 MM, REDE PLUVIAL/ESGOTO</t>
  </si>
  <si>
    <t>ALVENARIA TIJOLO CERÂMICO MACIÇO (5X9X19), ESP = 0,09M (SINGELA), COM ARGAMASSA TRAÇO T5 - 1:2:8 (CIMENTO / CAL / AREIA) C/ JUNTA DE 2,0CM - R1</t>
  </si>
  <si>
    <t>ARGAMASSA CIMENTO E AREIA TRAÇO T-1 (1:3) - 1 SACO CIMENTO 50KG / 3 PADIOLAS AREIA DIM. 0.35 X 0.45 X 0.23 M - CONFECÇÃO MECÂNICA E TRANSPORTE</t>
  </si>
  <si>
    <t>COMPOSIÇÃO - 06</t>
  </si>
  <si>
    <t>COMPOSIÇÃO 06</t>
  </si>
  <si>
    <t>SERVIÇOS DE OBRAS RODOVIÁRIAS, CONFORME ACÓRDÃO TCU 2622/2013 TCU 036.076/2011-2</t>
  </si>
  <si>
    <t>NÃO</t>
  </si>
  <si>
    <t xml:space="preserve">O BDI ADOTADO SEGUE OS PARÂMETROS DAS FAIXAS DE REFERÊNCIA CONSTANTES DO ACORDÃO 2622/2013 </t>
  </si>
  <si>
    <t>DETALHAMENTO DO BDI PARA SERVIÇOS DE OBRAS RODOVIÁRIAS, CONFORME ACÓRDÃO TCU 2622/2013 TCU 036.076/2011-2</t>
  </si>
  <si>
    <t>TIPO DE OBRAS: CONSTRUÇÃO DE RODOVIAS E FERROVIAS - NÃO DESONERADO</t>
  </si>
  <si>
    <t>Mínimo</t>
  </si>
  <si>
    <t>Máximo</t>
  </si>
  <si>
    <t>Seguro  +  Garantia - S + G</t>
  </si>
  <si>
    <t>Risco - R</t>
  </si>
  <si>
    <t>Despesas Financeiras - DF</t>
  </si>
  <si>
    <t>Administração Central - AC</t>
  </si>
  <si>
    <t>Lucro - L</t>
  </si>
  <si>
    <t xml:space="preserve"> Taxa da somatória das despesas indiretas (AC + S + G + R)</t>
  </si>
  <si>
    <t>Seguro + Garantia:</t>
  </si>
  <si>
    <t>Risco:</t>
  </si>
  <si>
    <t>Administração Central:</t>
  </si>
  <si>
    <t xml:space="preserve"> Taxa representativa das despesas financeiras DF:</t>
  </si>
  <si>
    <t>Despesas Financeiras adotada:</t>
  </si>
  <si>
    <t xml:space="preserve"> Taxa representativa do lucro L:</t>
  </si>
  <si>
    <t xml:space="preserve"> Lucro adotado:</t>
  </si>
  <si>
    <t xml:space="preserve">        </t>
  </si>
  <si>
    <t xml:space="preserve"> Taxa representativa da incidência de impostos I:</t>
  </si>
  <si>
    <t>CPRB:</t>
  </si>
  <si>
    <t>ISS:</t>
  </si>
  <si>
    <t>COFINS:</t>
  </si>
  <si>
    <t>PIS:</t>
  </si>
  <si>
    <t>BDI =</t>
  </si>
  <si>
    <r>
      <t xml:space="preserve">[ (1 + (AC + S + G + R) x ))x ( 1 + DF)x ( 1+ L) </t>
    </r>
    <r>
      <rPr>
        <sz val="11"/>
        <rFont val="Arial Narrow"/>
        <family val="2"/>
      </rPr>
      <t xml:space="preserve"> -1]  x 100</t>
    </r>
  </si>
  <si>
    <t xml:space="preserve">( 1 - I ) </t>
  </si>
  <si>
    <t>Portanto arredondando para 02 casas decimais, foi Adotado BDI=</t>
  </si>
  <si>
    <t>OBSERVAÇÃO: O BDI É COMPOSTO APENAS DAS DESPESAS DE TAXA DE RATEIO DA ADMINISTRAÇÃO CENTRAL; PERCENTUAIS DE TRIBUTOS INCIDENTES SOBRE O PREÇO DO SERVIÇO, EXCLUÍDOS AQUELES DE NATUREZA DIRETA E PERSONALÍSTICA QUE ONERAM O CONTRATO; TAXA DE RISCO, SEGURO E GARANTIA DO EMPREENDIMENTO; DESPESAS FINANCEIRAS; E TAXA DE LUCRO.</t>
  </si>
  <si>
    <t xml:space="preserve">VALOR DO BDI SERVIÇO (21,35%) </t>
  </si>
  <si>
    <t>113,36% (HORA) - 69,74% (MÊS)</t>
  </si>
  <si>
    <t>SINAPI - AGOSTO 2021/ ORSE - AGOSTO 2021 - ENCARGOS SOCIAIS -113,36% (HORA), 69,74% (MÊS). DECLARO QUE ESTE ORÇAMENTO ESTA DE ACORDO COM ENCARGOS SOCIAIS DO SINAPI PARA A UNIDADE DA FEDERAÇÃO INDICADA E OBSERVADO O QUE PRESCREVE O ART. 3 DO CAPÍTULO 2 DO DECRETO Nº 7.983/2013.</t>
  </si>
  <si>
    <t>PLANILHA ORÇAMENTÁRIA POR RUA</t>
  </si>
  <si>
    <t>TOTAL GERAL(com BDI)</t>
  </si>
  <si>
    <t>TOTAL GERAL (sem BDI)</t>
  </si>
  <si>
    <t xml:space="preserve">BDI MATERIAL: </t>
  </si>
  <si>
    <t>TUBO DE AÇO GALVANIZADO COM COSTURA, CLASSE MÉDIA, CONEXÃO RANHURADA, DN 50 (2"), INSTALADO EM PRUMADAS - FORNECIMENTO E INSTALAÇÃO. AF_10/2020</t>
  </si>
  <si>
    <t>PLACA ESMALTADA PARA IDENTIFICAÇÃO NR DE RUA, DIMENSÕES 45X25CM</t>
  </si>
  <si>
    <t>73916/002</t>
  </si>
  <si>
    <t xml:space="preserve">	SERVENTE COM ENCARGOS COMPLEMENTARES</t>
  </si>
  <si>
    <t>BUCHA DE NYLON SEM ABA S10</t>
  </si>
  <si>
    <t>Nº TC/CR</t>
  </si>
  <si>
    <t>PROPONENTE / TOMADOR</t>
  </si>
  <si>
    <t>915404/2021</t>
  </si>
  <si>
    <t>TIPO DE OBRA DO EMPREENDIMENTO</t>
  </si>
  <si>
    <t>DESONERAÇÃO</t>
  </si>
  <si>
    <t>Fornecimento de Materiais e Equipamentos (aquisição indireta - em conjunto com licitação de obras)</t>
  </si>
  <si>
    <t>Conforme legislação tributária municipal, definir estimativa de percentual da base de cálculo para o ISS:</t>
  </si>
  <si>
    <t>Sobre a base de cálculo, definir a respectiva alíquota do ISS (entre 2% e 5%):</t>
  </si>
  <si>
    <t>Itens</t>
  </si>
  <si>
    <t>Siglas</t>
  </si>
  <si>
    <t>% Adotado</t>
  </si>
  <si>
    <t>Situação</t>
  </si>
  <si>
    <t>1º Quartil</t>
  </si>
  <si>
    <t>3º Quartil</t>
  </si>
  <si>
    <t>OK</t>
  </si>
  <si>
    <t>Tributos (impostos COFINS 3%, e  PIS 0,65%)</t>
  </si>
  <si>
    <t>CP</t>
  </si>
  <si>
    <t>Tributos (ISS, variável de acordo com o município)</t>
  </si>
  <si>
    <t>ISS</t>
  </si>
  <si>
    <t>Tributos (Contribuição Previdenciária sobre a Receita Bruta - 0% ou 4,5% - Desoneração)</t>
  </si>
  <si>
    <t>CPRB</t>
  </si>
  <si>
    <t>BDI SEM desoneração
(Fórmula Acórdão TCU)</t>
  </si>
  <si>
    <t>BDI PAD</t>
  </si>
  <si>
    <t>BDI COM desoneração</t>
  </si>
  <si>
    <t>BDI DES</t>
  </si>
  <si>
    <t/>
  </si>
  <si>
    <t>Anexo: Relatório Técnico Circunstanciado justificando a adoção do percentual de cada parcela do BDI.</t>
  </si>
  <si>
    <t>Os valores de BDI foram calculados com o emprego da fórmula:</t>
  </si>
  <si>
    <t>BDI.PAD =</t>
  </si>
  <si>
    <t>(1+AC + S + R + G)*(1 + DF)*(1+L)</t>
  </si>
  <si>
    <t xml:space="preserve"> - 1</t>
  </si>
  <si>
    <t>(1-CP-ISS)</t>
  </si>
  <si>
    <t>Declaro para os devidos fins que, conforme legislação tributária municipal, a base de cálculo para Fornecimento de Materiais e Equipamentos (aquisição indireta - em conjunto com licitação de obras), é de 50%, com a respectiva alíquota de 5%.</t>
  </si>
  <si>
    <t>Declaro para os devidos fins que o regime de Contribuição Previdenciária sobre a Receita Bruta adotado para elaboração do orçamento foi SEM Desoneração, e que esta é a alternativa mais adequada para a Administração Pública.</t>
  </si>
  <si>
    <t>Observações:</t>
  </si>
  <si>
    <t>Arapiraca/AL</t>
  </si>
  <si>
    <t>Local</t>
  </si>
  <si>
    <t>Data</t>
  </si>
  <si>
    <t>SINAPI - AGOSTO 2021/ ORSE - AGOSTO 2021 - ENCARGOS SOCIAIS -113,36% (HORA), 69,74% (MÊS). DECLARO QUE ESTE ORÇAMENTO ESTÁ DE ACORDO COM ENCARGOS SOCIAIS DO SINAPI PARA A UNIDADE DA FEDERAÇÃO INDICADA E OBSERVADO O QUE PRESCREVE O ART. 3 DO CAPÍTULO 2 DO DECRETO Nº 7.983/2013.</t>
  </si>
  <si>
    <t>CÁLCULO DO BDI SERVIÇO</t>
  </si>
  <si>
    <t>SINAPI - AGOSTO/2021 - SEM DESONERAÇÃO                                                 SICRO JULHO/2021 - SEM DESNORERAÇÃO</t>
  </si>
  <si>
    <t>SICRO</t>
  </si>
  <si>
    <t>PLACA DE REGULAMENTAÇÃO EM AÇO D = 0,60 M - PELÍCULA RETRORREFLETIVA TIPO I + SI - FORNECIMENTO E IMPLANTAÇÃO</t>
  </si>
  <si>
    <t>COMPOSIÇÃO 07</t>
  </si>
  <si>
    <t>COMPOSIÇÃO - 07</t>
  </si>
  <si>
    <t>Total geral c/BDI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</si>
</sst>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0.0000"/>
    <numFmt numFmtId="166" formatCode="#,##0.00_ ;\-#,##0.00\ "/>
    <numFmt numFmtId="167" formatCode="[$€]#,##0.00_);[Red]\([$€]#,##0.00\)"/>
    <numFmt numFmtId="168" formatCode="General_)"/>
    <numFmt numFmtId="169" formatCode="#,##0.00\ _$;[Red]\-#,##0.00\ _$"/>
    <numFmt numFmtId="170" formatCode="#,##0.0000_);\(#,##0.0000\)"/>
    <numFmt numFmtId="171" formatCode="_([$€-2]* #,##0.00_);_([$€-2]* \(#,##0.00\);_([$€-2]* &quot;-&quot;??_)"/>
    <numFmt numFmtId="172" formatCode="#,##0.00\ ;&quot; (&quot;#,##0.00\);&quot; -&quot;#\ ;@\ "/>
    <numFmt numFmtId="173" formatCode="_(&quot;R$ &quot;* #,##0.00_);_(&quot;R$ &quot;* \(#,##0.00\);_(&quot;R$ &quot;* &quot;-&quot;??_);_(@_)"/>
    <numFmt numFmtId="174" formatCode="_-&quot;R$ &quot;* #,##0.00_-;&quot;-R$ &quot;* #,##0.00_-;_-&quot;R$ &quot;* \-??_-;_-@_-"/>
    <numFmt numFmtId="175" formatCode="mm/yy"/>
    <numFmt numFmtId="176" formatCode="0.000"/>
    <numFmt numFmtId="177" formatCode="&quot;R$&quot;\ #,##0.00"/>
    <numFmt numFmtId="178" formatCode="&quot;R$ &quot;#,##0.00"/>
    <numFmt numFmtId="179" formatCode="0.0%"/>
    <numFmt numFmtId="180" formatCode="#,##0.0000000"/>
    <numFmt numFmtId="181" formatCode="0.0"/>
    <numFmt numFmtId="182" formatCode="_-* #,##0.0000_-;\-* #,##0.0000_-;_-* &quot;-&quot;??_-;_-@_-"/>
    <numFmt numFmtId="183" formatCode="_-* #,##0.0000000_-;\-* #,##0.0000000_-;_-* &quot;-&quot;??_-;_-@_-"/>
    <numFmt numFmtId="184" formatCode="_-* #,##0.00000_-;\-* #,##0.00000_-;_-* &quot;-&quot;???????_-;_-@_-"/>
    <numFmt numFmtId="185" formatCode="#,##0.00_ ;[Red]\-#,##0.00\ "/>
    <numFmt numFmtId="186" formatCode="_(* #,##0.00_);_(* \(#,##0.00\);_(* &quot;-&quot;??_);_(@_)"/>
    <numFmt numFmtId="187" formatCode="_(* #,##0.000_);_(* \(#,##0.000\);_(* &quot;-&quot;??_);_(@_)"/>
    <numFmt numFmtId="188" formatCode="[$-F800]dddd\,\ mmmm\ dd\,\ yyyy"/>
    <numFmt numFmtId="189" formatCode="dd\ &quot;de&quot;\ mmmm\ &quot;de&quot;\ yyyy"/>
    <numFmt numFmtId="190" formatCode="_-&quot;R$&quot;\ * #,##0.000_-;\-&quot;R$&quot;\ * #,##0.000_-;_-&quot;R$&quot;\ * &quot;-&quot;??_-;_-@_-"/>
    <numFmt numFmtId="191" formatCode="_-&quot;R$&quot;\ * #,##0.0_-;\-&quot;R$&quot;\ * #,##0.0_-;_-&quot;R$&quot;\ * &quot;-&quot;??_-;_-@_-"/>
    <numFmt numFmtId="192" formatCode="0.000%"/>
    <numFmt numFmtId="193" formatCode="&quot;R$ &quot;#,##0.000"/>
    <numFmt numFmtId="194" formatCode="&quot;R$&quot;\ #,##0.000"/>
  </numFmts>
  <fonts count="9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2"/>
      <name val="Arial Narrow"/>
      <family val="2"/>
    </font>
    <font>
      <b/>
      <sz val="11"/>
      <color indexed="8"/>
      <name val="Calibri"/>
      <family val="2"/>
    </font>
    <font>
      <sz val="10"/>
      <name val="Arial Narrow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20"/>
      <name val="Calibri"/>
      <family val="2"/>
    </font>
    <font>
      <b/>
      <sz val="11"/>
      <color indexed="10"/>
      <name val="Calibri"/>
      <family val="2"/>
    </font>
    <font>
      <sz val="10"/>
      <name val="Courier"/>
      <family val="3"/>
    </font>
    <font>
      <sz val="11"/>
      <color indexed="19"/>
      <name val="Calibri"/>
      <family val="2"/>
    </font>
    <font>
      <sz val="10"/>
      <name val="MS Sans Serif"/>
      <family val="2"/>
    </font>
    <font>
      <b/>
      <sz val="16"/>
      <name val="Arial Narrow"/>
      <family val="2"/>
    </font>
    <font>
      <u/>
      <sz val="11"/>
      <color theme="10"/>
      <name val="Calibri"/>
      <family val="2"/>
      <scheme val="minor"/>
    </font>
    <font>
      <sz val="8"/>
      <color theme="1"/>
      <name val="Arial"/>
      <family val="2"/>
    </font>
    <font>
      <b/>
      <sz val="18"/>
      <color theme="3"/>
      <name val="Calibri Light"/>
      <family val="2"/>
      <scheme val="major"/>
    </font>
    <font>
      <b/>
      <sz val="10"/>
      <color theme="1"/>
      <name val="Arial Narrow"/>
      <family val="2"/>
    </font>
    <font>
      <b/>
      <sz val="10"/>
      <name val="Arial Narrow"/>
      <family val="2"/>
    </font>
    <font>
      <b/>
      <sz val="10"/>
      <color indexed="8"/>
      <name val="Arial Narrow"/>
      <family val="2"/>
    </font>
    <font>
      <sz val="10"/>
      <color theme="1"/>
      <name val="Arial Narrow"/>
      <family val="2"/>
    </font>
    <font>
      <sz val="10"/>
      <color indexed="8"/>
      <name val="Arial Narrow"/>
      <family val="2"/>
    </font>
    <font>
      <sz val="11"/>
      <color theme="1"/>
      <name val="Arial Narrow"/>
      <family val="2"/>
    </font>
    <font>
      <sz val="11"/>
      <name val="Arial Narrow"/>
      <family val="2"/>
    </font>
    <font>
      <b/>
      <sz val="11"/>
      <color theme="1"/>
      <name val="Arial Narrow"/>
      <family val="2"/>
    </font>
    <font>
      <sz val="11"/>
      <color rgb="FFFF0000"/>
      <name val="Arial Narrow"/>
      <family val="2"/>
    </font>
    <font>
      <sz val="11"/>
      <color indexed="0"/>
      <name val="Arial Narrow"/>
      <family val="2"/>
    </font>
    <font>
      <b/>
      <sz val="10"/>
      <color indexed="0"/>
      <name val="Arial Narrow"/>
      <family val="2"/>
    </font>
    <font>
      <b/>
      <sz val="11"/>
      <color rgb="FFFF0000"/>
      <name val="Arial Narrow"/>
      <family val="2"/>
    </font>
    <font>
      <b/>
      <sz val="11"/>
      <name val="Arial Narrow"/>
      <family val="2"/>
    </font>
    <font>
      <b/>
      <sz val="8"/>
      <name val="Arial Narrow"/>
      <family val="2"/>
    </font>
    <font>
      <b/>
      <sz val="8"/>
      <color rgb="FFFF0000"/>
      <name val="Arial Narrow"/>
      <family val="2"/>
    </font>
    <font>
      <b/>
      <sz val="12"/>
      <color rgb="FF000000"/>
      <name val="Arial Narrow"/>
      <family val="2"/>
    </font>
    <font>
      <sz val="12"/>
      <name val="Arial Narrow"/>
      <family val="2"/>
    </font>
    <font>
      <sz val="8"/>
      <name val="Arial Narrow"/>
      <family val="2"/>
    </font>
    <font>
      <sz val="8"/>
      <color rgb="FFFF0000"/>
      <name val="Arial Narrow"/>
      <family val="2"/>
    </font>
    <font>
      <sz val="8"/>
      <color theme="1"/>
      <name val="Arial Narrow"/>
      <family val="2"/>
    </font>
    <font>
      <b/>
      <sz val="10"/>
      <color theme="1" tint="0.14999847407452621"/>
      <name val="Arial Narrow"/>
      <family val="2"/>
    </font>
    <font>
      <b/>
      <u val="singleAccounting"/>
      <sz val="10"/>
      <name val="Arial Narrow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  <font>
      <sz val="8"/>
      <color rgb="FFFF0000"/>
      <name val="Arial"/>
      <family val="2"/>
    </font>
    <font>
      <sz val="8"/>
      <name val="Arial"/>
      <family val="2"/>
    </font>
    <font>
      <sz val="11"/>
      <name val="Arial"/>
      <family val="1"/>
    </font>
    <font>
      <sz val="12"/>
      <color theme="1"/>
      <name val="Arial Narrow"/>
      <family val="2"/>
    </font>
    <font>
      <b/>
      <sz val="8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10"/>
      <color rgb="FF000000"/>
      <name val="Arial Narrow"/>
      <family val="2"/>
    </font>
    <font>
      <b/>
      <sz val="10"/>
      <color rgb="FF000000"/>
      <name val="Arial Narrow"/>
      <family val="2"/>
    </font>
    <font>
      <sz val="10"/>
      <name val="Arial"/>
      <family val="1"/>
    </font>
    <font>
      <b/>
      <sz val="9"/>
      <name val="Arial Narrow"/>
      <family val="2"/>
    </font>
    <font>
      <sz val="9"/>
      <name val="Arial Narrow"/>
      <family val="2"/>
    </font>
    <font>
      <u/>
      <sz val="11"/>
      <name val="Arial Narrow"/>
      <family val="2"/>
    </font>
    <font>
      <b/>
      <sz val="9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indexed="9"/>
      <name val="Arial"/>
      <family val="2"/>
    </font>
    <font>
      <b/>
      <sz val="11"/>
      <color indexed="12"/>
      <name val="Arial"/>
      <family val="2"/>
    </font>
    <font>
      <b/>
      <sz val="18"/>
      <name val="Arial"/>
      <family val="2"/>
    </font>
    <font>
      <sz val="10.5"/>
      <name val="Arial"/>
      <family val="2"/>
    </font>
    <font>
      <i/>
      <sz val="12"/>
      <name val="Calibri"/>
      <family val="2"/>
    </font>
    <font>
      <i/>
      <u/>
      <sz val="12"/>
      <name val="Calibri"/>
      <family val="2"/>
    </font>
    <font>
      <u/>
      <sz val="10"/>
      <name val="Arial"/>
      <family val="2"/>
    </font>
    <font>
      <sz val="12"/>
      <name val="Arial"/>
      <family val="2"/>
    </font>
  </fonts>
  <fills count="7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47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10"/>
      </patternFill>
    </fill>
    <fill>
      <patternFill patternType="solid">
        <fgColor indexed="46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indexed="47"/>
      </patternFill>
    </fill>
    <fill>
      <patternFill patternType="solid">
        <fgColor theme="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indexed="43"/>
        <bgColor indexed="64"/>
      </patternFill>
    </fill>
  </fills>
  <borders count="14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</borders>
  <cellStyleXfs count="181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6" fillId="3" borderId="4" applyNumberFormat="0" applyAlignment="0" applyProtection="0"/>
    <xf numFmtId="0" fontId="7" fillId="4" borderId="5" applyNumberFormat="0" applyAlignment="0" applyProtection="0"/>
    <xf numFmtId="0" fontId="8" fillId="4" borderId="4" applyNumberFormat="0" applyAlignment="0" applyProtection="0"/>
    <xf numFmtId="0" fontId="9" fillId="0" borderId="6" applyNumberFormat="0" applyFill="0" applyAlignment="0" applyProtection="0"/>
    <xf numFmtId="0" fontId="10" fillId="5" borderId="7" applyNumberFormat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9" applyNumberFormat="0" applyFill="0" applyAlignment="0" applyProtection="0"/>
    <xf numFmtId="0" fontId="14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4" fillId="22" borderId="0" applyNumberFormat="0" applyBorder="0" applyAlignment="0" applyProtection="0"/>
    <xf numFmtId="0" fontId="14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4" fillId="30" borderId="0" applyNumberFormat="0" applyBorder="0" applyAlignment="0" applyProtection="0"/>
    <xf numFmtId="0" fontId="15" fillId="32" borderId="0" applyNumberFormat="0" applyBorder="0" applyAlignment="0" applyProtection="0"/>
    <xf numFmtId="0" fontId="15" fillId="34" borderId="0" applyNumberFormat="0" applyBorder="0" applyAlignment="0" applyProtection="0"/>
    <xf numFmtId="0" fontId="16" fillId="0" borderId="0"/>
    <xf numFmtId="0" fontId="15" fillId="35" borderId="0" applyNumberFormat="0" applyBorder="0" applyAlignment="0" applyProtection="0"/>
    <xf numFmtId="0" fontId="16" fillId="0" borderId="0" applyBorder="0"/>
    <xf numFmtId="0" fontId="15" fillId="33" borderId="0" applyNumberFormat="0" applyBorder="0" applyAlignment="0" applyProtection="0"/>
    <xf numFmtId="0" fontId="16" fillId="0" borderId="0"/>
    <xf numFmtId="0" fontId="15" fillId="36" borderId="0" applyNumberFormat="0" applyBorder="0" applyAlignment="0" applyProtection="0"/>
    <xf numFmtId="0" fontId="15" fillId="35" borderId="0" applyNumberFormat="0" applyBorder="0" applyAlignment="0" applyProtection="0"/>
    <xf numFmtId="0" fontId="16" fillId="0" borderId="0"/>
    <xf numFmtId="0" fontId="15" fillId="36" borderId="0" applyNumberFormat="0" applyBorder="0" applyAlignment="0" applyProtection="0"/>
    <xf numFmtId="0" fontId="15" fillId="34" borderId="0" applyNumberFormat="0" applyBorder="0" applyAlignment="0" applyProtection="0"/>
    <xf numFmtId="0" fontId="15" fillId="37" borderId="0" applyNumberFormat="0" applyBorder="0" applyAlignment="0" applyProtection="0"/>
    <xf numFmtId="173" fontId="16" fillId="0" borderId="0" applyFont="0" applyFill="0" applyBorder="0" applyAlignment="0" applyProtection="0"/>
    <xf numFmtId="0" fontId="15" fillId="38" borderId="0" applyNumberFormat="0" applyBorder="0" applyAlignment="0" applyProtection="0"/>
    <xf numFmtId="173" fontId="16" fillId="0" borderId="0" applyFont="0" applyFill="0" applyBorder="0" applyAlignment="0" applyProtection="0"/>
    <xf numFmtId="0" fontId="15" fillId="36" borderId="0" applyNumberFormat="0" applyBorder="0" applyAlignment="0" applyProtection="0"/>
    <xf numFmtId="0" fontId="15" fillId="35" borderId="0" applyNumberFormat="0" applyBorder="0" applyAlignment="0" applyProtection="0"/>
    <xf numFmtId="0" fontId="20" fillId="36" borderId="0" applyNumberFormat="0" applyBorder="0" applyAlignment="0" applyProtection="0"/>
    <xf numFmtId="0" fontId="20" fillId="40" borderId="0" applyNumberFormat="0" applyBorder="0" applyAlignment="0" applyProtection="0"/>
    <xf numFmtId="0" fontId="20" fillId="41" borderId="0" applyNumberFormat="0" applyBorder="0" applyAlignment="0" applyProtection="0"/>
    <xf numFmtId="0" fontId="20" fillId="38" borderId="0" applyNumberFormat="0" applyBorder="0" applyAlignment="0" applyProtection="0"/>
    <xf numFmtId="0" fontId="20" fillId="36" borderId="0" applyNumberFormat="0" applyBorder="0" applyAlignment="0" applyProtection="0"/>
    <xf numFmtId="0" fontId="20" fillId="34" borderId="0" applyNumberFormat="0" applyBorder="0" applyAlignment="0" applyProtection="0"/>
    <xf numFmtId="0" fontId="21" fillId="36" borderId="0" applyNumberFormat="0" applyBorder="0" applyAlignment="0" applyProtection="0"/>
    <xf numFmtId="0" fontId="32" fillId="31" borderId="10" applyNumberFormat="0" applyAlignment="0" applyProtection="0"/>
    <xf numFmtId="0" fontId="22" fillId="42" borderId="11" applyNumberFormat="0" applyAlignment="0" applyProtection="0"/>
    <xf numFmtId="0" fontId="25" fillId="0" borderId="12" applyNumberFormat="0" applyFill="0" applyAlignment="0" applyProtection="0"/>
    <xf numFmtId="0" fontId="16" fillId="0" borderId="0" applyFill="0" applyProtection="0">
      <alignment vertical="top"/>
    </xf>
    <xf numFmtId="0" fontId="20" fillId="43" borderId="0" applyNumberFormat="0" applyBorder="0" applyAlignment="0" applyProtection="0"/>
    <xf numFmtId="0" fontId="20" fillId="40" borderId="0" applyNumberFormat="0" applyBorder="0" applyAlignment="0" applyProtection="0"/>
    <xf numFmtId="0" fontId="20" fillId="41" borderId="0" applyNumberFormat="0" applyBorder="0" applyAlignment="0" applyProtection="0"/>
    <xf numFmtId="0" fontId="20" fillId="44" borderId="0" applyNumberFormat="0" applyBorder="0" applyAlignment="0" applyProtection="0"/>
    <xf numFmtId="0" fontId="20" fillId="39" borderId="0" applyNumberFormat="0" applyBorder="0" applyAlignment="0" applyProtection="0"/>
    <xf numFmtId="0" fontId="20" fillId="45" borderId="0" applyNumberFormat="0" applyBorder="0" applyAlignment="0" applyProtection="0"/>
    <xf numFmtId="0" fontId="23" fillId="37" borderId="10" applyNumberFormat="0" applyAlignment="0" applyProtection="0"/>
    <xf numFmtId="167" fontId="33" fillId="0" borderId="0" applyFont="0" applyFill="0" applyBorder="0" applyAlignment="0" applyProtection="0"/>
    <xf numFmtId="171" fontId="16" fillId="0" borderId="0" applyFont="0" applyFill="0" applyBorder="0" applyAlignment="0" applyProtection="0"/>
    <xf numFmtId="2" fontId="16" fillId="0" borderId="0" applyFill="0" applyProtection="0">
      <alignment vertical="top"/>
    </xf>
    <xf numFmtId="0" fontId="37" fillId="0" borderId="0" applyNumberFormat="0" applyFill="0" applyBorder="0" applyAlignment="0" applyProtection="0"/>
    <xf numFmtId="0" fontId="31" fillId="46" borderId="0" applyNumberFormat="0" applyBorder="0" applyAlignment="0" applyProtection="0"/>
    <xf numFmtId="44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164" fontId="16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3" fontId="16" fillId="0" borderId="0" applyFill="0" applyBorder="0" applyAlignment="0" applyProtection="0"/>
    <xf numFmtId="0" fontId="34" fillId="37" borderId="0" applyNumberFormat="0" applyBorder="0" applyAlignment="0" applyProtection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33" fillId="0" borderId="0"/>
    <xf numFmtId="0" fontId="35" fillId="0" borderId="0"/>
    <xf numFmtId="168" fontId="33" fillId="0" borderId="0"/>
    <xf numFmtId="0" fontId="16" fillId="0" borderId="0"/>
    <xf numFmtId="0" fontId="35" fillId="0" borderId="0"/>
    <xf numFmtId="0" fontId="1" fillId="0" borderId="0"/>
    <xf numFmtId="0" fontId="38" fillId="0" borderId="0"/>
    <xf numFmtId="168" fontId="33" fillId="0" borderId="0"/>
    <xf numFmtId="168" fontId="33" fillId="0" borderId="0"/>
    <xf numFmtId="0" fontId="16" fillId="0" borderId="0">
      <protection locked="0"/>
    </xf>
    <xf numFmtId="0" fontId="16" fillId="0" borderId="0">
      <protection locked="0"/>
    </xf>
    <xf numFmtId="0" fontId="35" fillId="35" borderId="13" applyNumberFormat="0" applyFont="0" applyAlignment="0" applyProtection="0"/>
    <xf numFmtId="0" fontId="1" fillId="6" borderId="8" applyNumberFormat="0" applyFont="0" applyAlignment="0" applyProtection="0"/>
    <xf numFmtId="9" fontId="15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4" fillId="31" borderId="14" applyNumberFormat="0" applyAlignment="0" applyProtection="0"/>
    <xf numFmtId="0" fontId="15" fillId="0" borderId="0" applyFont="0" applyFill="0" applyBorder="0" applyAlignment="0" applyProtection="0"/>
    <xf numFmtId="169" fontId="3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6" fillId="0" borderId="0" applyFont="0" applyFill="0" applyBorder="0" applyAlignment="0" applyProtection="0"/>
    <xf numFmtId="169" fontId="33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66" fontId="15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5" fillId="0" borderId="0" applyFont="0" applyFill="0" applyBorder="0" applyAlignment="0" applyProtection="0"/>
    <xf numFmtId="169" fontId="33" fillId="0" borderId="0" applyFont="0" applyFill="0" applyBorder="0" applyAlignment="0" applyProtection="0"/>
    <xf numFmtId="169" fontId="33" fillId="0" borderId="0" applyFont="0" applyFill="0" applyBorder="0" applyAlignment="0" applyProtection="0"/>
    <xf numFmtId="170" fontId="15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28" fillId="0" borderId="15" applyNumberFormat="0" applyFill="0" applyAlignment="0" applyProtection="0"/>
    <xf numFmtId="0" fontId="29" fillId="0" borderId="16" applyNumberFormat="0" applyFill="0" applyAlignment="0" applyProtection="0"/>
    <xf numFmtId="0" fontId="30" fillId="0" borderId="17" applyNumberFormat="0" applyFill="0" applyAlignment="0" applyProtection="0"/>
    <xf numFmtId="0" fontId="30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18" fillId="0" borderId="18" applyNumberFormat="0" applyFill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6" fillId="0" borderId="0" applyFont="0" applyFill="0" applyBorder="0" applyAlignment="0" applyProtection="0"/>
    <xf numFmtId="172" fontId="16" fillId="0" borderId="0" applyFill="0" applyBorder="0" applyAlignment="0" applyProtection="0"/>
    <xf numFmtId="43" fontId="1" fillId="0" borderId="0" applyFont="0" applyFill="0" applyBorder="0" applyAlignment="0" applyProtection="0"/>
    <xf numFmtId="3" fontId="16" fillId="0" borderId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ill="0" applyBorder="0" applyAlignment="0" applyProtection="0"/>
    <xf numFmtId="9" fontId="16" fillId="0" borderId="0" applyFill="0" applyBorder="0" applyAlignment="0" applyProtection="0"/>
    <xf numFmtId="9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9" fontId="33" fillId="0" borderId="0" applyFont="0" applyFill="0" applyBorder="0" applyAlignment="0" applyProtection="0"/>
    <xf numFmtId="40" fontId="35" fillId="0" borderId="0" applyFont="0" applyFill="0" applyBorder="0" applyAlignment="0" applyProtection="0"/>
    <xf numFmtId="0" fontId="16" fillId="0" borderId="0"/>
    <xf numFmtId="0" fontId="35" fillId="0" borderId="0"/>
    <xf numFmtId="43" fontId="1" fillId="0" borderId="0" applyFont="0" applyFill="0" applyBorder="0" applyAlignment="0" applyProtection="0"/>
    <xf numFmtId="43" fontId="16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5" fillId="0" borderId="0"/>
    <xf numFmtId="9" fontId="16" fillId="0" borderId="0" applyFont="0" applyFill="0" applyBorder="0" applyAlignment="0" applyProtection="0"/>
    <xf numFmtId="174" fontId="15" fillId="0" borderId="0" applyFill="0" applyBorder="0" applyAlignment="0" applyProtection="0"/>
    <xf numFmtId="43" fontId="1" fillId="0" borderId="0" applyFont="0" applyFill="0" applyBorder="0" applyAlignment="0" applyProtection="0"/>
    <xf numFmtId="0" fontId="16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0" fillId="0" borderId="0"/>
    <xf numFmtId="0" fontId="1" fillId="0" borderId="0"/>
    <xf numFmtId="0" fontId="1" fillId="0" borderId="0"/>
    <xf numFmtId="0" fontId="1" fillId="0" borderId="0"/>
    <xf numFmtId="0" fontId="16" fillId="0" borderId="0"/>
    <xf numFmtId="9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0" fontId="1" fillId="0" borderId="0"/>
    <xf numFmtId="0" fontId="82" fillId="0" borderId="0"/>
    <xf numFmtId="173" fontId="16" fillId="0" borderId="0" applyFont="0" applyFill="0" applyBorder="0" applyAlignment="0" applyProtection="0"/>
  </cellStyleXfs>
  <cellXfs count="1089">
    <xf numFmtId="0" fontId="0" fillId="0" borderId="0" xfId="0"/>
    <xf numFmtId="0" fontId="41" fillId="49" borderId="23" xfId="0" applyFont="1" applyFill="1" applyBorder="1" applyAlignment="1">
      <alignment vertical="center" wrapText="1"/>
    </xf>
    <xf numFmtId="0" fontId="42" fillId="51" borderId="19" xfId="0" applyFont="1" applyFill="1" applyBorder="1" applyAlignment="1">
      <alignment horizontal="center" vertical="center"/>
    </xf>
    <xf numFmtId="0" fontId="42" fillId="51" borderId="19" xfId="0" applyFont="1" applyFill="1" applyBorder="1" applyAlignment="1">
      <alignment vertical="center"/>
    </xf>
    <xf numFmtId="0" fontId="42" fillId="51" borderId="19" xfId="0" applyFont="1" applyFill="1" applyBorder="1" applyAlignment="1">
      <alignment horizontal="center" vertical="center" wrapText="1"/>
    </xf>
    <xf numFmtId="0" fontId="42" fillId="50" borderId="19" xfId="0" applyFont="1" applyFill="1" applyBorder="1" applyAlignment="1">
      <alignment horizontal="center" vertical="center" wrapText="1"/>
    </xf>
    <xf numFmtId="0" fontId="42" fillId="48" borderId="19" xfId="0" applyFont="1" applyFill="1" applyBorder="1" applyAlignment="1">
      <alignment horizontal="center" vertical="center"/>
    </xf>
    <xf numFmtId="44" fontId="42" fillId="48" borderId="29" xfId="0" applyNumberFormat="1" applyFont="1" applyFill="1" applyBorder="1" applyAlignment="1">
      <alignment horizontal="center" vertical="center" wrapText="1"/>
    </xf>
    <xf numFmtId="0" fontId="43" fillId="0" borderId="19" xfId="0" applyFont="1" applyFill="1" applyBorder="1" applyAlignment="1">
      <alignment horizontal="center" vertical="center"/>
    </xf>
    <xf numFmtId="0" fontId="19" fillId="0" borderId="19" xfId="0" applyFont="1" applyFill="1" applyBorder="1" applyAlignment="1">
      <alignment horizontal="center" vertical="center"/>
    </xf>
    <xf numFmtId="0" fontId="19" fillId="0" borderId="21" xfId="0" applyNumberFormat="1" applyFont="1" applyFill="1" applyBorder="1" applyAlignment="1">
      <alignment horizontal="center" vertical="center" wrapText="1"/>
    </xf>
    <xf numFmtId="0" fontId="19" fillId="47" borderId="19" xfId="0" applyFont="1" applyFill="1" applyBorder="1" applyAlignment="1">
      <alignment vertical="center" wrapText="1"/>
    </xf>
    <xf numFmtId="0" fontId="19" fillId="0" borderId="30" xfId="0" applyFont="1" applyFill="1" applyBorder="1" applyAlignment="1">
      <alignment horizontal="center" vertical="center"/>
    </xf>
    <xf numFmtId="44" fontId="43" fillId="0" borderId="23" xfId="84" applyFont="1" applyBorder="1" applyAlignment="1">
      <alignment horizontal="center" vertical="center"/>
    </xf>
    <xf numFmtId="44" fontId="43" fillId="0" borderId="19" xfId="84" applyFont="1" applyFill="1" applyBorder="1" applyAlignment="1">
      <alignment horizontal="center" vertical="center"/>
    </xf>
    <xf numFmtId="44" fontId="43" fillId="0" borderId="29" xfId="84" applyFont="1" applyFill="1" applyBorder="1" applyAlignment="1">
      <alignment horizontal="center" vertical="center"/>
    </xf>
    <xf numFmtId="0" fontId="44" fillId="0" borderId="19" xfId="0" applyFont="1" applyFill="1" applyBorder="1" applyAlignment="1">
      <alignment horizontal="center" vertical="center"/>
    </xf>
    <xf numFmtId="0" fontId="44" fillId="0" borderId="21" xfId="0" applyNumberFormat="1" applyFont="1" applyFill="1" applyBorder="1" applyAlignment="1">
      <alignment horizontal="center" vertical="center" wrapText="1"/>
    </xf>
    <xf numFmtId="0" fontId="19" fillId="47" borderId="19" xfId="0" applyFont="1" applyFill="1" applyBorder="1" applyAlignment="1">
      <alignment horizontal="center" vertical="center"/>
    </xf>
    <xf numFmtId="0" fontId="42" fillId="0" borderId="19" xfId="0" applyFont="1" applyFill="1" applyBorder="1" applyAlignment="1">
      <alignment horizontal="center" vertical="center"/>
    </xf>
    <xf numFmtId="0" fontId="42" fillId="0" borderId="19" xfId="0" applyFont="1" applyFill="1" applyBorder="1" applyAlignment="1">
      <alignment vertical="center"/>
    </xf>
    <xf numFmtId="0" fontId="42" fillId="0" borderId="29" xfId="0" applyFont="1" applyFill="1" applyBorder="1" applyAlignment="1">
      <alignment horizontal="center" vertical="center"/>
    </xf>
    <xf numFmtId="0" fontId="42" fillId="0" borderId="19" xfId="0" applyFont="1" applyFill="1" applyBorder="1" applyAlignment="1">
      <alignment horizontal="center" vertical="center" wrapText="1"/>
    </xf>
    <xf numFmtId="0" fontId="42" fillId="0" borderId="23" xfId="0" applyFont="1" applyFill="1" applyBorder="1" applyAlignment="1">
      <alignment horizontal="center" vertical="center" wrapText="1"/>
    </xf>
    <xf numFmtId="0" fontId="42" fillId="0" borderId="29" xfId="0" applyFont="1" applyFill="1" applyBorder="1" applyAlignment="1">
      <alignment horizontal="center" vertical="center" wrapText="1"/>
    </xf>
    <xf numFmtId="0" fontId="17" fillId="47" borderId="22" xfId="0" applyFont="1" applyFill="1" applyBorder="1" applyAlignment="1">
      <alignment vertical="center"/>
    </xf>
    <xf numFmtId="0" fontId="17" fillId="47" borderId="25" xfId="0" applyFont="1" applyFill="1" applyBorder="1" applyAlignment="1">
      <alignment vertical="center"/>
    </xf>
    <xf numFmtId="0" fontId="17" fillId="47" borderId="26" xfId="0" applyFont="1" applyFill="1" applyBorder="1" applyAlignment="1">
      <alignment vertical="center"/>
    </xf>
    <xf numFmtId="0" fontId="17" fillId="47" borderId="20" xfId="0" applyFont="1" applyFill="1" applyBorder="1" applyAlignment="1">
      <alignment vertical="center"/>
    </xf>
    <xf numFmtId="0" fontId="17" fillId="47" borderId="0" xfId="0" applyFont="1" applyFill="1" applyBorder="1" applyAlignment="1">
      <alignment vertical="center"/>
    </xf>
    <xf numFmtId="0" fontId="36" fillId="47" borderId="24" xfId="0" applyFont="1" applyFill="1" applyBorder="1" applyAlignment="1">
      <alignment horizontal="center" vertical="center"/>
    </xf>
    <xf numFmtId="0" fontId="19" fillId="47" borderId="24" xfId="0" applyFont="1" applyFill="1" applyBorder="1" applyAlignment="1">
      <alignment horizontal="center" vertical="center"/>
    </xf>
    <xf numFmtId="0" fontId="19" fillId="47" borderId="24" xfId="0" applyFont="1" applyFill="1" applyBorder="1" applyAlignment="1">
      <alignment vertical="center"/>
    </xf>
    <xf numFmtId="0" fontId="17" fillId="47" borderId="24" xfId="0" applyFont="1" applyFill="1" applyBorder="1" applyAlignment="1">
      <alignment vertical="center"/>
    </xf>
    <xf numFmtId="0" fontId="17" fillId="47" borderId="27" xfId="0" applyFont="1" applyFill="1" applyBorder="1" applyAlignment="1">
      <alignment vertical="center"/>
    </xf>
    <xf numFmtId="0" fontId="17" fillId="47" borderId="28" xfId="0" applyFont="1" applyFill="1" applyBorder="1" applyAlignment="1">
      <alignment vertical="center"/>
    </xf>
    <xf numFmtId="0" fontId="43" fillId="0" borderId="19" xfId="0" applyFont="1" applyBorder="1"/>
    <xf numFmtId="0" fontId="40" fillId="52" borderId="19" xfId="0" applyFont="1" applyFill="1" applyBorder="1" applyAlignment="1">
      <alignment horizontal="center"/>
    </xf>
    <xf numFmtId="0" fontId="19" fillId="0" borderId="19" xfId="0" applyFont="1" applyBorder="1" applyAlignment="1">
      <alignment horizontal="justify" vertical="justify"/>
    </xf>
    <xf numFmtId="0" fontId="43" fillId="0" borderId="19" xfId="0" applyFont="1" applyBorder="1" applyAlignment="1">
      <alignment vertical="center" wrapText="1"/>
    </xf>
    <xf numFmtId="0" fontId="43" fillId="47" borderId="19" xfId="0" applyFont="1" applyFill="1" applyBorder="1" applyAlignment="1">
      <alignment horizontal="center" vertical="center"/>
    </xf>
    <xf numFmtId="0" fontId="19" fillId="0" borderId="19" xfId="0" applyFont="1" applyBorder="1" applyAlignment="1">
      <alignment vertical="center" wrapText="1"/>
    </xf>
    <xf numFmtId="0" fontId="19" fillId="0" borderId="19" xfId="0" applyNumberFormat="1" applyFont="1" applyFill="1" applyBorder="1" applyAlignment="1">
      <alignment horizontal="center" vertical="center" wrapText="1"/>
    </xf>
    <xf numFmtId="0" fontId="19" fillId="0" borderId="19" xfId="0" applyFont="1" applyFill="1" applyBorder="1" applyAlignment="1">
      <alignment horizontal="center" vertical="center" wrapText="1"/>
    </xf>
    <xf numFmtId="0" fontId="40" fillId="0" borderId="19" xfId="0" applyFont="1" applyBorder="1" applyAlignment="1">
      <alignment horizontal="center"/>
    </xf>
    <xf numFmtId="0" fontId="40" fillId="0" borderId="19" xfId="0" applyFont="1" applyBorder="1"/>
    <xf numFmtId="0" fontId="19" fillId="0" borderId="29" xfId="0" applyFont="1" applyFill="1" applyBorder="1" applyAlignment="1">
      <alignment horizontal="center" vertical="center"/>
    </xf>
    <xf numFmtId="0" fontId="43" fillId="0" borderId="19" xfId="0" applyFont="1" applyBorder="1" applyAlignment="1">
      <alignment wrapText="1"/>
    </xf>
    <xf numFmtId="0" fontId="19" fillId="0" borderId="19" xfId="0" applyFont="1" applyBorder="1" applyAlignment="1">
      <alignment horizontal="justify" vertical="justify" wrapText="1"/>
    </xf>
    <xf numFmtId="49" fontId="19" fillId="0" borderId="19" xfId="0" applyNumberFormat="1" applyFont="1" applyBorder="1" applyAlignment="1">
      <alignment horizontal="justify" vertical="justify" wrapText="1"/>
    </xf>
    <xf numFmtId="0" fontId="43" fillId="0" borderId="19" xfId="0" applyFont="1" applyBorder="1" applyAlignment="1">
      <alignment horizontal="center" vertical="center"/>
    </xf>
    <xf numFmtId="0" fontId="41" fillId="47" borderId="28" xfId="0" applyFont="1" applyFill="1" applyBorder="1" applyAlignment="1">
      <alignment vertical="center" wrapText="1"/>
    </xf>
    <xf numFmtId="0" fontId="36" fillId="47" borderId="0" xfId="0" applyFont="1" applyFill="1" applyBorder="1" applyAlignment="1">
      <alignment horizontal="center" vertical="center"/>
    </xf>
    <xf numFmtId="0" fontId="19" fillId="47" borderId="0" xfId="0" applyFont="1" applyFill="1" applyBorder="1" applyAlignment="1">
      <alignment horizontal="center" vertical="center"/>
    </xf>
    <xf numFmtId="0" fontId="19" fillId="47" borderId="0" xfId="0" applyFont="1" applyFill="1" applyBorder="1" applyAlignment="1">
      <alignment vertical="center"/>
    </xf>
    <xf numFmtId="0" fontId="41" fillId="49" borderId="20" xfId="0" applyFont="1" applyFill="1" applyBorder="1" applyAlignment="1">
      <alignment vertical="center" wrapText="1"/>
    </xf>
    <xf numFmtId="0" fontId="19" fillId="0" borderId="19" xfId="0" applyFont="1" applyFill="1" applyBorder="1" applyAlignment="1">
      <alignment vertical="center" wrapText="1"/>
    </xf>
    <xf numFmtId="0" fontId="19" fillId="0" borderId="19" xfId="0" applyFont="1" applyBorder="1" applyAlignment="1">
      <alignment wrapText="1"/>
    </xf>
    <xf numFmtId="2" fontId="45" fillId="0" borderId="19" xfId="0" applyNumberFormat="1" applyFont="1" applyBorder="1" applyAlignment="1">
      <alignment horizontal="center" vertical="center"/>
    </xf>
    <xf numFmtId="2" fontId="45" fillId="0" borderId="19" xfId="0" applyNumberFormat="1" applyFont="1" applyFill="1" applyBorder="1" applyAlignment="1">
      <alignment horizontal="center" vertical="center"/>
    </xf>
    <xf numFmtId="2" fontId="46" fillId="0" borderId="19" xfId="0" applyNumberFormat="1" applyFont="1" applyBorder="1" applyAlignment="1">
      <alignment horizontal="center" vertical="center"/>
    </xf>
    <xf numFmtId="2" fontId="43" fillId="0" borderId="19" xfId="0" applyNumberFormat="1" applyFont="1" applyBorder="1" applyAlignment="1">
      <alignment horizontal="center" vertical="center"/>
    </xf>
    <xf numFmtId="0" fontId="45" fillId="0" borderId="0" xfId="0" applyFont="1"/>
    <xf numFmtId="0" fontId="49" fillId="0" borderId="19" xfId="0" applyFont="1" applyBorder="1" applyAlignment="1" applyProtection="1">
      <alignment horizontal="center" vertical="center"/>
      <protection locked="0"/>
    </xf>
    <xf numFmtId="0" fontId="48" fillId="56" borderId="19" xfId="0" applyNumberFormat="1" applyFont="1" applyFill="1" applyBorder="1" applyAlignment="1" applyProtection="1">
      <alignment horizontal="center" vertical="center"/>
      <protection locked="0"/>
    </xf>
    <xf numFmtId="176" fontId="46" fillId="47" borderId="19" xfId="0" applyNumberFormat="1" applyFont="1" applyFill="1" applyBorder="1" applyAlignment="1" applyProtection="1">
      <alignment horizontal="center" vertical="center"/>
      <protection locked="0"/>
    </xf>
    <xf numFmtId="0" fontId="49" fillId="0" borderId="19" xfId="0" applyNumberFormat="1" applyFont="1" applyBorder="1" applyAlignment="1" applyProtection="1">
      <alignment horizontal="center" vertical="center"/>
      <protection locked="0"/>
    </xf>
    <xf numFmtId="0" fontId="46" fillId="0" borderId="19" xfId="0" applyNumberFormat="1" applyFont="1" applyBorder="1" applyAlignment="1" applyProtection="1">
      <alignment horizontal="center" vertical="center"/>
      <protection locked="0"/>
    </xf>
    <xf numFmtId="2" fontId="49" fillId="0" borderId="19" xfId="0" applyNumberFormat="1" applyFont="1" applyBorder="1" applyAlignment="1" applyProtection="1">
      <alignment horizontal="center" vertical="center"/>
      <protection locked="0"/>
    </xf>
    <xf numFmtId="176" fontId="49" fillId="0" borderId="19" xfId="0" applyNumberFormat="1" applyFont="1" applyBorder="1" applyAlignment="1" applyProtection="1">
      <alignment horizontal="center" vertical="center"/>
      <protection locked="0"/>
    </xf>
    <xf numFmtId="176" fontId="49" fillId="0" borderId="56" xfId="0" applyNumberFormat="1" applyFont="1" applyBorder="1" applyAlignment="1" applyProtection="1">
      <alignment horizontal="center" vertical="center"/>
      <protection locked="0"/>
    </xf>
    <xf numFmtId="0" fontId="49" fillId="47" borderId="19" xfId="0" applyFont="1" applyFill="1" applyBorder="1" applyAlignment="1" applyProtection="1">
      <alignment horizontal="center" vertical="center"/>
      <protection locked="0"/>
    </xf>
    <xf numFmtId="0" fontId="45" fillId="47" borderId="19" xfId="0" applyFont="1" applyFill="1" applyBorder="1" applyAlignment="1">
      <alignment horizontal="center" vertical="center"/>
    </xf>
    <xf numFmtId="0" fontId="49" fillId="31" borderId="19" xfId="0" applyFont="1" applyFill="1" applyBorder="1" applyAlignment="1" applyProtection="1">
      <alignment horizontal="center" vertical="top"/>
      <protection locked="0"/>
    </xf>
    <xf numFmtId="0" fontId="46" fillId="47" borderId="19" xfId="0" applyFont="1" applyFill="1" applyBorder="1" applyAlignment="1">
      <alignment horizontal="center" vertical="center"/>
    </xf>
    <xf numFmtId="2" fontId="46" fillId="0" borderId="19" xfId="0" applyNumberFormat="1" applyFont="1" applyFill="1" applyBorder="1" applyAlignment="1">
      <alignment horizontal="center" vertical="center"/>
    </xf>
    <xf numFmtId="0" fontId="49" fillId="31" borderId="56" xfId="0" applyFont="1" applyFill="1" applyBorder="1" applyAlignment="1" applyProtection="1">
      <alignment horizontal="center" vertical="center"/>
      <protection locked="0"/>
    </xf>
    <xf numFmtId="0" fontId="48" fillId="56" borderId="56" xfId="0" applyNumberFormat="1" applyFont="1" applyFill="1" applyBorder="1" applyAlignment="1" applyProtection="1">
      <alignment horizontal="center" vertical="center"/>
      <protection locked="0"/>
    </xf>
    <xf numFmtId="176" fontId="46" fillId="47" borderId="56" xfId="0" applyNumberFormat="1" applyFont="1" applyFill="1" applyBorder="1" applyAlignment="1" applyProtection="1">
      <alignment horizontal="center" vertical="center"/>
      <protection locked="0"/>
    </xf>
    <xf numFmtId="176" fontId="46" fillId="47" borderId="71" xfId="0" applyNumberFormat="1" applyFont="1" applyFill="1" applyBorder="1" applyAlignment="1" applyProtection="1">
      <alignment horizontal="center" vertical="center"/>
      <protection locked="0"/>
    </xf>
    <xf numFmtId="0" fontId="49" fillId="0" borderId="56" xfId="0" applyNumberFormat="1" applyFont="1" applyBorder="1" applyAlignment="1" applyProtection="1">
      <alignment horizontal="center" vertical="center"/>
      <protection locked="0"/>
    </xf>
    <xf numFmtId="0" fontId="46" fillId="0" borderId="56" xfId="0" applyNumberFormat="1" applyFont="1" applyBorder="1" applyAlignment="1" applyProtection="1">
      <alignment horizontal="center" vertical="center"/>
      <protection locked="0"/>
    </xf>
    <xf numFmtId="2" fontId="49" fillId="0" borderId="56" xfId="0" applyNumberFormat="1" applyFont="1" applyBorder="1" applyAlignment="1" applyProtection="1">
      <alignment horizontal="center" vertical="center"/>
      <protection locked="0"/>
    </xf>
    <xf numFmtId="0" fontId="49" fillId="47" borderId="56" xfId="0" applyFont="1" applyFill="1" applyBorder="1" applyAlignment="1" applyProtection="1">
      <alignment horizontal="center" vertical="center"/>
      <protection locked="0"/>
    </xf>
    <xf numFmtId="0" fontId="45" fillId="47" borderId="56" xfId="0" applyFont="1" applyFill="1" applyBorder="1" applyAlignment="1">
      <alignment horizontal="center" vertical="center"/>
    </xf>
    <xf numFmtId="2" fontId="45" fillId="0" borderId="56" xfId="0" applyNumberFormat="1" applyFont="1" applyFill="1" applyBorder="1" applyAlignment="1">
      <alignment horizontal="center" vertical="center"/>
    </xf>
    <xf numFmtId="2" fontId="45" fillId="0" borderId="56" xfId="0" applyNumberFormat="1" applyFont="1" applyBorder="1" applyAlignment="1">
      <alignment horizontal="center" vertical="center"/>
    </xf>
    <xf numFmtId="176" fontId="46" fillId="0" borderId="19" xfId="0" applyNumberFormat="1" applyFont="1" applyBorder="1" applyAlignment="1" applyProtection="1">
      <alignment horizontal="center" vertical="center"/>
      <protection locked="0"/>
    </xf>
    <xf numFmtId="2" fontId="46" fillId="0" borderId="19" xfId="0" applyNumberFormat="1" applyFont="1" applyBorder="1" applyAlignment="1" applyProtection="1">
      <alignment horizontal="center" vertical="center"/>
      <protection locked="0"/>
    </xf>
    <xf numFmtId="0" fontId="46" fillId="56" borderId="19" xfId="0" applyNumberFormat="1" applyFont="1" applyFill="1" applyBorder="1" applyAlignment="1" applyProtection="1">
      <alignment horizontal="center" vertical="center"/>
      <protection locked="0"/>
    </xf>
    <xf numFmtId="0" fontId="46" fillId="47" borderId="19" xfId="0" applyFont="1" applyFill="1" applyBorder="1" applyAlignment="1" applyProtection="1">
      <alignment horizontal="center" vertical="center"/>
      <protection locked="0"/>
    </xf>
    <xf numFmtId="0" fontId="19" fillId="47" borderId="50" xfId="0" applyFont="1" applyFill="1" applyBorder="1" applyAlignment="1">
      <alignment vertical="center"/>
    </xf>
    <xf numFmtId="0" fontId="36" fillId="47" borderId="0" xfId="0" applyFont="1" applyFill="1" applyBorder="1" applyAlignment="1">
      <alignment vertical="center"/>
    </xf>
    <xf numFmtId="0" fontId="17" fillId="47" borderId="94" xfId="0" applyFont="1" applyFill="1" applyBorder="1" applyAlignment="1">
      <alignment vertical="center"/>
    </xf>
    <xf numFmtId="0" fontId="17" fillId="47" borderId="95" xfId="0" applyFont="1" applyFill="1" applyBorder="1" applyAlignment="1">
      <alignment vertical="center"/>
    </xf>
    <xf numFmtId="0" fontId="36" fillId="47" borderId="95" xfId="0" applyFont="1" applyFill="1" applyBorder="1" applyAlignment="1">
      <alignment vertical="center"/>
    </xf>
    <xf numFmtId="0" fontId="36" fillId="47" borderId="96" xfId="0" applyFont="1" applyFill="1" applyBorder="1" applyAlignment="1">
      <alignment vertical="center"/>
    </xf>
    <xf numFmtId="0" fontId="17" fillId="47" borderId="54" xfId="0" applyFont="1" applyFill="1" applyBorder="1" applyAlignment="1">
      <alignment vertical="center"/>
    </xf>
    <xf numFmtId="0" fontId="36" fillId="47" borderId="97" xfId="0" applyFont="1" applyFill="1" applyBorder="1" applyAlignment="1">
      <alignment vertical="center"/>
    </xf>
    <xf numFmtId="0" fontId="19" fillId="47" borderId="97" xfId="0" applyFont="1" applyFill="1" applyBorder="1" applyAlignment="1">
      <alignment vertical="center"/>
    </xf>
    <xf numFmtId="0" fontId="17" fillId="47" borderId="98" xfId="0" applyFont="1" applyFill="1" applyBorder="1" applyAlignment="1">
      <alignment vertical="center"/>
    </xf>
    <xf numFmtId="0" fontId="19" fillId="47" borderId="99" xfId="0" applyFont="1" applyFill="1" applyBorder="1" applyAlignment="1">
      <alignment vertical="center"/>
    </xf>
    <xf numFmtId="0" fontId="17" fillId="47" borderId="49" xfId="0" applyFont="1" applyFill="1" applyBorder="1" applyAlignment="1">
      <alignment vertical="center"/>
    </xf>
    <xf numFmtId="0" fontId="17" fillId="47" borderId="50" xfId="0" applyFont="1" applyFill="1" applyBorder="1" applyAlignment="1">
      <alignment vertical="center"/>
    </xf>
    <xf numFmtId="0" fontId="19" fillId="0" borderId="19" xfId="90" applyNumberFormat="1" applyFont="1" applyFill="1" applyBorder="1" applyAlignment="1">
      <alignment horizontal="left" vertical="center" wrapText="1"/>
    </xf>
    <xf numFmtId="1" fontId="19" fillId="0" borderId="19" xfId="90" applyNumberFormat="1" applyFont="1" applyBorder="1" applyAlignment="1">
      <alignment horizontal="center" vertical="center"/>
    </xf>
    <xf numFmtId="49" fontId="19" fillId="0" borderId="19" xfId="0" applyNumberFormat="1" applyFont="1" applyFill="1" applyBorder="1" applyAlignment="1">
      <alignment horizontal="center" vertical="center"/>
    </xf>
    <xf numFmtId="0" fontId="40" fillId="0" borderId="19" xfId="0" applyFont="1" applyBorder="1" applyAlignment="1">
      <alignment horizontal="center" vertical="center"/>
    </xf>
    <xf numFmtId="43" fontId="0" fillId="0" borderId="0" xfId="0" applyNumberFormat="1"/>
    <xf numFmtId="0" fontId="56" fillId="53" borderId="19" xfId="44" applyFont="1" applyFill="1" applyBorder="1" applyAlignment="1">
      <alignment horizontal="center" vertical="center" wrapText="1"/>
    </xf>
    <xf numFmtId="0" fontId="56" fillId="53" borderId="34" xfId="44" applyFont="1" applyFill="1" applyBorder="1" applyAlignment="1">
      <alignment horizontal="center" vertical="center" wrapText="1"/>
    </xf>
    <xf numFmtId="0" fontId="53" fillId="55" borderId="79" xfId="0" applyFont="1" applyFill="1" applyBorder="1" applyAlignment="1">
      <alignment horizontal="center" vertical="center"/>
    </xf>
    <xf numFmtId="0" fontId="53" fillId="55" borderId="62" xfId="0" applyFont="1" applyFill="1" applyBorder="1" applyAlignment="1">
      <alignment horizontal="center" vertical="justify"/>
    </xf>
    <xf numFmtId="0" fontId="53" fillId="55" borderId="63" xfId="0" applyFont="1" applyFill="1" applyBorder="1" applyAlignment="1">
      <alignment horizontal="center" vertical="center"/>
    </xf>
    <xf numFmtId="0" fontId="53" fillId="55" borderId="63" xfId="0" applyFont="1" applyFill="1" applyBorder="1" applyAlignment="1">
      <alignment horizontal="center" vertical="center" wrapText="1"/>
    </xf>
    <xf numFmtId="0" fontId="53" fillId="55" borderId="80" xfId="0" applyFont="1" applyFill="1" applyBorder="1" applyAlignment="1">
      <alignment horizontal="center" vertical="center" wrapText="1"/>
    </xf>
    <xf numFmtId="0" fontId="53" fillId="55" borderId="81" xfId="0" applyFont="1" applyFill="1" applyBorder="1" applyAlignment="1">
      <alignment horizontal="center"/>
    </xf>
    <xf numFmtId="0" fontId="57" fillId="55" borderId="63" xfId="0" applyFont="1" applyFill="1" applyBorder="1" applyAlignment="1">
      <alignment horizontal="center"/>
    </xf>
    <xf numFmtId="4" fontId="57" fillId="55" borderId="63" xfId="0" applyNumberFormat="1" applyFont="1" applyFill="1" applyBorder="1" applyAlignment="1">
      <alignment horizontal="center"/>
    </xf>
    <xf numFmtId="4" fontId="57" fillId="55" borderId="59" xfId="0" applyNumberFormat="1" applyFont="1" applyFill="1" applyBorder="1" applyAlignment="1">
      <alignment horizontal="center"/>
    </xf>
    <xf numFmtId="4" fontId="53" fillId="55" borderId="64" xfId="0" applyNumberFormat="1" applyFont="1" applyFill="1" applyBorder="1" applyAlignment="1">
      <alignment horizontal="center"/>
    </xf>
    <xf numFmtId="4" fontId="53" fillId="55" borderId="63" xfId="0" applyNumberFormat="1" applyFont="1" applyFill="1" applyBorder="1" applyAlignment="1">
      <alignment horizontal="center"/>
    </xf>
    <xf numFmtId="4" fontId="53" fillId="55" borderId="80" xfId="167" applyNumberFormat="1" applyFont="1" applyFill="1" applyBorder="1" applyAlignment="1" applyProtection="1">
      <alignment horizontal="center"/>
    </xf>
    <xf numFmtId="0" fontId="53" fillId="55" borderId="54" xfId="0" applyFont="1" applyFill="1" applyBorder="1" applyAlignment="1">
      <alignment horizontal="center"/>
    </xf>
    <xf numFmtId="0" fontId="57" fillId="55" borderId="65" xfId="0" applyFont="1" applyFill="1" applyBorder="1"/>
    <xf numFmtId="0" fontId="57" fillId="55" borderId="0" xfId="0" applyFont="1" applyFill="1" applyBorder="1"/>
    <xf numFmtId="176" fontId="57" fillId="55" borderId="66" xfId="0" applyNumberFormat="1" applyFont="1" applyFill="1" applyBorder="1" applyAlignment="1">
      <alignment horizontal="center"/>
    </xf>
    <xf numFmtId="176" fontId="57" fillId="55" borderId="0" xfId="0" applyNumberFormat="1" applyFont="1" applyFill="1" applyBorder="1" applyAlignment="1">
      <alignment horizontal="center"/>
    </xf>
    <xf numFmtId="4" fontId="57" fillId="55" borderId="66" xfId="0" applyNumberFormat="1" applyFont="1" applyFill="1" applyBorder="1" applyAlignment="1">
      <alignment horizontal="center"/>
    </xf>
    <xf numFmtId="4" fontId="57" fillId="55" borderId="82" xfId="167" applyNumberFormat="1" applyFont="1" applyFill="1" applyBorder="1" applyAlignment="1" applyProtection="1">
      <alignment horizontal="center"/>
    </xf>
    <xf numFmtId="0" fontId="57" fillId="55" borderId="54" xfId="0" applyFont="1" applyFill="1" applyBorder="1" applyAlignment="1">
      <alignment horizontal="center"/>
    </xf>
    <xf numFmtId="0" fontId="53" fillId="55" borderId="54" xfId="0" applyFont="1" applyFill="1" applyBorder="1" applyAlignment="1">
      <alignment horizontal="center" vertical="center"/>
    </xf>
    <xf numFmtId="0" fontId="53" fillId="55" borderId="65" xfId="0" applyFont="1" applyFill="1" applyBorder="1" applyAlignment="1">
      <alignment vertical="center"/>
    </xf>
    <xf numFmtId="0" fontId="57" fillId="55" borderId="0" xfId="0" applyFont="1" applyFill="1" applyBorder="1" applyAlignment="1">
      <alignment vertical="center"/>
    </xf>
    <xf numFmtId="0" fontId="57" fillId="55" borderId="66" xfId="0" applyFont="1" applyFill="1" applyBorder="1" applyAlignment="1">
      <alignment vertical="center"/>
    </xf>
    <xf numFmtId="4" fontId="57" fillId="55" borderId="66" xfId="0" applyNumberFormat="1" applyFont="1" applyFill="1" applyBorder="1" applyAlignment="1">
      <alignment horizontal="center" vertical="center"/>
    </xf>
    <xf numFmtId="4" fontId="57" fillId="55" borderId="0" xfId="0" applyNumberFormat="1" applyFont="1" applyFill="1" applyBorder="1" applyAlignment="1">
      <alignment horizontal="center" vertical="center"/>
    </xf>
    <xf numFmtId="4" fontId="57" fillId="55" borderId="65" xfId="0" applyNumberFormat="1" applyFont="1" applyFill="1" applyBorder="1" applyAlignment="1">
      <alignment horizontal="center" vertical="center"/>
    </xf>
    <xf numFmtId="4" fontId="57" fillId="55" borderId="67" xfId="0" applyNumberFormat="1" applyFont="1" applyFill="1" applyBorder="1" applyAlignment="1">
      <alignment horizontal="center" vertical="center"/>
    </xf>
    <xf numFmtId="4" fontId="57" fillId="55" borderId="68" xfId="0" applyNumberFormat="1" applyFont="1" applyFill="1" applyBorder="1" applyAlignment="1">
      <alignment horizontal="center" vertical="center"/>
    </xf>
    <xf numFmtId="4" fontId="53" fillId="55" borderId="82" xfId="167" applyNumberFormat="1" applyFont="1" applyFill="1" applyBorder="1" applyAlignment="1" applyProtection="1">
      <alignment horizontal="center" vertical="center"/>
    </xf>
    <xf numFmtId="0" fontId="53" fillId="55" borderId="83" xfId="0" applyFont="1" applyFill="1" applyBorder="1" applyAlignment="1">
      <alignment horizontal="center" vertical="center"/>
    </xf>
    <xf numFmtId="0" fontId="57" fillId="55" borderId="62" xfId="0" applyFont="1" applyFill="1" applyBorder="1" applyAlignment="1">
      <alignment horizontal="center" vertical="center"/>
    </xf>
    <xf numFmtId="4" fontId="57" fillId="55" borderId="69" xfId="0" applyNumberFormat="1" applyFont="1" applyFill="1" applyBorder="1" applyAlignment="1">
      <alignment horizontal="center" vertical="center"/>
    </xf>
    <xf numFmtId="0" fontId="57" fillId="55" borderId="19" xfId="0" applyFont="1" applyFill="1" applyBorder="1" applyAlignment="1">
      <alignment horizontal="center" vertical="center"/>
    </xf>
    <xf numFmtId="4" fontId="57" fillId="55" borderId="61" xfId="0" applyNumberFormat="1" applyFont="1" applyFill="1" applyBorder="1" applyAlignment="1">
      <alignment horizontal="center" vertical="center"/>
    </xf>
    <xf numFmtId="4" fontId="53" fillId="55" borderId="19" xfId="0" applyNumberFormat="1" applyFont="1" applyFill="1" applyBorder="1" applyAlignment="1">
      <alignment horizontal="center" vertical="center"/>
    </xf>
    <xf numFmtId="4" fontId="53" fillId="55" borderId="70" xfId="0" applyNumberFormat="1" applyFont="1" applyFill="1" applyBorder="1" applyAlignment="1">
      <alignment horizontal="center" vertical="center"/>
    </xf>
    <xf numFmtId="4" fontId="53" fillId="55" borderId="63" xfId="0" applyNumberFormat="1" applyFont="1" applyFill="1" applyBorder="1" applyAlignment="1">
      <alignment horizontal="center" vertical="center"/>
    </xf>
    <xf numFmtId="4" fontId="53" fillId="55" borderId="80" xfId="167" applyNumberFormat="1" applyFont="1" applyFill="1" applyBorder="1" applyAlignment="1" applyProtection="1">
      <alignment horizontal="center" vertical="center"/>
    </xf>
    <xf numFmtId="0" fontId="53" fillId="55" borderId="48" xfId="0" applyFont="1" applyFill="1" applyBorder="1" applyAlignment="1">
      <alignment horizontal="center"/>
    </xf>
    <xf numFmtId="0" fontId="57" fillId="55" borderId="73" xfId="0" applyFont="1" applyFill="1" applyBorder="1"/>
    <xf numFmtId="0" fontId="57" fillId="55" borderId="74" xfId="0" applyFont="1" applyFill="1" applyBorder="1"/>
    <xf numFmtId="176" fontId="57" fillId="55" borderId="22" xfId="0" applyNumberFormat="1" applyFont="1" applyFill="1" applyBorder="1" applyAlignment="1">
      <alignment horizontal="center"/>
    </xf>
    <xf numFmtId="176" fontId="57" fillId="55" borderId="30" xfId="0" applyNumberFormat="1" applyFont="1" applyFill="1" applyBorder="1" applyAlignment="1">
      <alignment horizontal="center"/>
    </xf>
    <xf numFmtId="4" fontId="57" fillId="55" borderId="71" xfId="0" applyNumberFormat="1" applyFont="1" applyFill="1" applyBorder="1" applyAlignment="1">
      <alignment horizontal="center"/>
    </xf>
    <xf numFmtId="4" fontId="57" fillId="55" borderId="26" xfId="0" applyNumberFormat="1" applyFont="1" applyFill="1" applyBorder="1" applyAlignment="1">
      <alignment horizontal="center"/>
    </xf>
    <xf numFmtId="4" fontId="57" fillId="55" borderId="62" xfId="0" applyNumberFormat="1" applyFont="1" applyFill="1" applyBorder="1" applyAlignment="1">
      <alignment horizontal="center"/>
    </xf>
    <xf numFmtId="4" fontId="57" fillId="55" borderId="0" xfId="0" applyNumberFormat="1" applyFont="1" applyFill="1" applyBorder="1" applyAlignment="1">
      <alignment horizontal="center"/>
    </xf>
    <xf numFmtId="4" fontId="53" fillId="55" borderId="84" xfId="167" applyNumberFormat="1" applyFont="1" applyFill="1" applyBorder="1" applyAlignment="1" applyProtection="1">
      <alignment horizontal="center"/>
    </xf>
    <xf numFmtId="0" fontId="57" fillId="55" borderId="20" xfId="0" applyFont="1" applyFill="1" applyBorder="1"/>
    <xf numFmtId="0" fontId="57" fillId="55" borderId="24" xfId="0" applyFont="1" applyFill="1" applyBorder="1"/>
    <xf numFmtId="176" fontId="57" fillId="55" borderId="20" xfId="0" applyNumberFormat="1" applyFont="1" applyFill="1" applyBorder="1" applyAlignment="1">
      <alignment horizontal="center"/>
    </xf>
    <xf numFmtId="176" fontId="57" fillId="55" borderId="71" xfId="0" applyNumberFormat="1" applyFont="1" applyFill="1" applyBorder="1" applyAlignment="1">
      <alignment horizontal="center"/>
    </xf>
    <xf numFmtId="4" fontId="57" fillId="55" borderId="24" xfId="0" applyNumberFormat="1" applyFont="1" applyFill="1" applyBorder="1" applyAlignment="1">
      <alignment horizontal="center"/>
    </xf>
    <xf numFmtId="4" fontId="53" fillId="55" borderId="85" xfId="167" applyNumberFormat="1" applyFont="1" applyFill="1" applyBorder="1" applyAlignment="1" applyProtection="1">
      <alignment horizontal="center"/>
    </xf>
    <xf numFmtId="4" fontId="57" fillId="55" borderId="68" xfId="0" applyNumberFormat="1" applyFont="1" applyFill="1" applyBorder="1" applyAlignment="1">
      <alignment horizontal="center"/>
    </xf>
    <xf numFmtId="0" fontId="57" fillId="55" borderId="55" xfId="0" applyFont="1" applyFill="1" applyBorder="1" applyAlignment="1">
      <alignment horizontal="center"/>
    </xf>
    <xf numFmtId="0" fontId="57" fillId="55" borderId="0" xfId="0" applyFont="1" applyFill="1" applyBorder="1" applyAlignment="1"/>
    <xf numFmtId="0" fontId="57" fillId="55" borderId="27" xfId="0" applyFont="1" applyFill="1" applyBorder="1" applyAlignment="1">
      <alignment horizontal="center"/>
    </xf>
    <xf numFmtId="4" fontId="57" fillId="55" borderId="56" xfId="0" applyNumberFormat="1" applyFont="1" applyFill="1" applyBorder="1" applyAlignment="1">
      <alignment horizontal="center"/>
    </xf>
    <xf numFmtId="176" fontId="57" fillId="55" borderId="27" xfId="0" applyNumberFormat="1" applyFont="1" applyFill="1" applyBorder="1" applyAlignment="1">
      <alignment horizontal="center"/>
    </xf>
    <xf numFmtId="4" fontId="57" fillId="55" borderId="38" xfId="0" applyNumberFormat="1" applyFont="1" applyFill="1" applyBorder="1" applyAlignment="1">
      <alignment horizontal="center"/>
    </xf>
    <xf numFmtId="4" fontId="57" fillId="55" borderId="23" xfId="0" applyNumberFormat="1" applyFont="1" applyFill="1" applyBorder="1" applyAlignment="1">
      <alignment horizontal="center"/>
    </xf>
    <xf numFmtId="4" fontId="57" fillId="55" borderId="19" xfId="0" applyNumberFormat="1" applyFont="1" applyFill="1" applyBorder="1" applyAlignment="1">
      <alignment horizontal="center"/>
    </xf>
    <xf numFmtId="0" fontId="53" fillId="55" borderId="81" xfId="0" applyFont="1" applyFill="1" applyBorder="1" applyAlignment="1">
      <alignment horizontal="center" vertical="center"/>
    </xf>
    <xf numFmtId="0" fontId="57" fillId="55" borderId="63" xfId="0" applyFont="1" applyFill="1" applyBorder="1" applyAlignment="1">
      <alignment horizontal="center" vertical="center"/>
    </xf>
    <xf numFmtId="4" fontId="57" fillId="55" borderId="63" xfId="0" applyNumberFormat="1" applyFont="1" applyFill="1" applyBorder="1" applyAlignment="1">
      <alignment horizontal="center" vertical="center"/>
    </xf>
    <xf numFmtId="4" fontId="57" fillId="55" borderId="59" xfId="0" applyNumberFormat="1" applyFont="1" applyFill="1" applyBorder="1" applyAlignment="1">
      <alignment horizontal="center" vertical="center"/>
    </xf>
    <xf numFmtId="4" fontId="53" fillId="55" borderId="64" xfId="0" applyNumberFormat="1" applyFont="1" applyFill="1" applyBorder="1" applyAlignment="1">
      <alignment horizontal="center" vertical="center"/>
    </xf>
    <xf numFmtId="4" fontId="53" fillId="55" borderId="58" xfId="0" applyNumberFormat="1" applyFont="1" applyFill="1" applyBorder="1" applyAlignment="1">
      <alignment horizontal="center" vertical="center"/>
    </xf>
    <xf numFmtId="0" fontId="54" fillId="55" borderId="54" xfId="0" applyFont="1" applyFill="1" applyBorder="1" applyAlignment="1">
      <alignment horizontal="center"/>
    </xf>
    <xf numFmtId="4" fontId="58" fillId="55" borderId="66" xfId="0" applyNumberFormat="1" applyFont="1" applyFill="1" applyBorder="1" applyAlignment="1">
      <alignment horizontal="center"/>
    </xf>
    <xf numFmtId="4" fontId="58" fillId="55" borderId="82" xfId="167" applyNumberFormat="1" applyFont="1" applyFill="1" applyBorder="1" applyAlignment="1" applyProtection="1">
      <alignment horizontal="center"/>
    </xf>
    <xf numFmtId="0" fontId="54" fillId="55" borderId="65" xfId="0" applyFont="1" applyFill="1" applyBorder="1"/>
    <xf numFmtId="0" fontId="58" fillId="55" borderId="0" xfId="0" applyFont="1" applyFill="1" applyBorder="1"/>
    <xf numFmtId="0" fontId="58" fillId="55" borderId="66" xfId="0" applyFont="1" applyFill="1" applyBorder="1"/>
    <xf numFmtId="4" fontId="58" fillId="55" borderId="0" xfId="0" applyNumberFormat="1" applyFont="1" applyFill="1" applyBorder="1" applyAlignment="1">
      <alignment horizontal="center"/>
    </xf>
    <xf numFmtId="4" fontId="57" fillId="55" borderId="67" xfId="0" applyNumberFormat="1" applyFont="1" applyFill="1" applyBorder="1" applyAlignment="1">
      <alignment horizontal="center"/>
    </xf>
    <xf numFmtId="4" fontId="58" fillId="55" borderId="68" xfId="0" applyNumberFormat="1" applyFont="1" applyFill="1" applyBorder="1" applyAlignment="1">
      <alignment horizontal="center"/>
    </xf>
    <xf numFmtId="4" fontId="54" fillId="55" borderId="82" xfId="167" applyNumberFormat="1" applyFont="1" applyFill="1" applyBorder="1" applyAlignment="1" applyProtection="1">
      <alignment horizontal="center"/>
    </xf>
    <xf numFmtId="0" fontId="53" fillId="55" borderId="65" xfId="0" applyFont="1" applyFill="1" applyBorder="1"/>
    <xf numFmtId="0" fontId="57" fillId="55" borderId="66" xfId="0" applyFont="1" applyFill="1" applyBorder="1"/>
    <xf numFmtId="4" fontId="53" fillId="55" borderId="82" xfId="167" applyNumberFormat="1" applyFont="1" applyFill="1" applyBorder="1" applyAlignment="1" applyProtection="1">
      <alignment horizontal="center"/>
    </xf>
    <xf numFmtId="4" fontId="57" fillId="55" borderId="72" xfId="0" applyNumberFormat="1" applyFont="1" applyFill="1" applyBorder="1" applyAlignment="1">
      <alignment horizontal="center"/>
    </xf>
    <xf numFmtId="0" fontId="53" fillId="55" borderId="49" xfId="0" applyFont="1" applyFill="1" applyBorder="1" applyAlignment="1">
      <alignment horizontal="center"/>
    </xf>
    <xf numFmtId="0" fontId="53" fillId="55" borderId="86" xfId="0" applyFont="1" applyFill="1" applyBorder="1"/>
    <xf numFmtId="0" fontId="57" fillId="55" borderId="50" xfId="0" applyFont="1" applyFill="1" applyBorder="1"/>
    <xf numFmtId="0" fontId="57" fillId="55" borderId="87" xfId="0" applyFont="1" applyFill="1" applyBorder="1"/>
    <xf numFmtId="4" fontId="57" fillId="55" borderId="87" xfId="0" applyNumberFormat="1" applyFont="1" applyFill="1" applyBorder="1" applyAlignment="1">
      <alignment horizontal="center"/>
    </xf>
    <xf numFmtId="4" fontId="57" fillId="55" borderId="50" xfId="0" applyNumberFormat="1" applyFont="1" applyFill="1" applyBorder="1" applyAlignment="1">
      <alignment horizontal="center"/>
    </xf>
    <xf numFmtId="4" fontId="57" fillId="55" borderId="88" xfId="0" applyNumberFormat="1" applyFont="1" applyFill="1" applyBorder="1" applyAlignment="1">
      <alignment horizontal="center"/>
    </xf>
    <xf numFmtId="4" fontId="57" fillId="55" borderId="89" xfId="0" applyNumberFormat="1" applyFont="1" applyFill="1" applyBorder="1" applyAlignment="1">
      <alignment horizontal="center"/>
    </xf>
    <xf numFmtId="4" fontId="53" fillId="55" borderId="90" xfId="167" applyNumberFormat="1" applyFont="1" applyFill="1" applyBorder="1" applyAlignment="1" applyProtection="1">
      <alignment horizontal="center"/>
    </xf>
    <xf numFmtId="0" fontId="53" fillId="47" borderId="22" xfId="0" applyFont="1" applyFill="1" applyBorder="1" applyAlignment="1">
      <alignment vertical="center"/>
    </xf>
    <xf numFmtId="0" fontId="53" fillId="47" borderId="25" xfId="0" applyFont="1" applyFill="1" applyBorder="1" applyAlignment="1">
      <alignment vertical="center"/>
    </xf>
    <xf numFmtId="0" fontId="53" fillId="47" borderId="26" xfId="0" applyFont="1" applyFill="1" applyBorder="1" applyAlignment="1">
      <alignment vertical="center"/>
    </xf>
    <xf numFmtId="0" fontId="53" fillId="47" borderId="20" xfId="0" applyFont="1" applyFill="1" applyBorder="1" applyAlignment="1">
      <alignment vertical="center"/>
    </xf>
    <xf numFmtId="0" fontId="53" fillId="47" borderId="0" xfId="0" applyFont="1" applyFill="1" applyBorder="1" applyAlignment="1">
      <alignment vertical="center"/>
    </xf>
    <xf numFmtId="0" fontId="53" fillId="47" borderId="24" xfId="0" applyFont="1" applyFill="1" applyBorder="1" applyAlignment="1">
      <alignment vertical="center"/>
    </xf>
    <xf numFmtId="0" fontId="53" fillId="47" borderId="27" xfId="0" applyFont="1" applyFill="1" applyBorder="1" applyAlignment="1">
      <alignment vertical="center"/>
    </xf>
    <xf numFmtId="0" fontId="53" fillId="47" borderId="28" xfId="0" applyFont="1" applyFill="1" applyBorder="1" applyAlignment="1">
      <alignment vertical="center"/>
    </xf>
    <xf numFmtId="0" fontId="53" fillId="47" borderId="38" xfId="0" applyFont="1" applyFill="1" applyBorder="1" applyAlignment="1">
      <alignment vertical="center"/>
    </xf>
    <xf numFmtId="4" fontId="53" fillId="0" borderId="0" xfId="90" applyNumberFormat="1" applyFont="1" applyFill="1" applyBorder="1" applyAlignment="1" applyProtection="1">
      <alignment vertical="center" wrapText="1"/>
    </xf>
    <xf numFmtId="0" fontId="53" fillId="49" borderId="53" xfId="0" applyFont="1" applyFill="1" applyBorder="1" applyAlignment="1">
      <alignment vertical="center" wrapText="1"/>
    </xf>
    <xf numFmtId="0" fontId="53" fillId="49" borderId="53" xfId="90" applyFont="1" applyFill="1" applyBorder="1" applyAlignment="1" applyProtection="1">
      <alignment vertical="center"/>
    </xf>
    <xf numFmtId="0" fontId="45" fillId="47" borderId="25" xfId="0" applyFont="1" applyFill="1" applyBorder="1"/>
    <xf numFmtId="0" fontId="45" fillId="47" borderId="26" xfId="0" applyFont="1" applyFill="1" applyBorder="1"/>
    <xf numFmtId="0" fontId="45" fillId="47" borderId="0" xfId="0" applyFont="1" applyFill="1" applyBorder="1"/>
    <xf numFmtId="0" fontId="45" fillId="47" borderId="24" xfId="0" applyFont="1" applyFill="1" applyBorder="1"/>
    <xf numFmtId="0" fontId="45" fillId="47" borderId="28" xfId="0" applyFont="1" applyFill="1" applyBorder="1"/>
    <xf numFmtId="0" fontId="45" fillId="47" borderId="38" xfId="0" applyFont="1" applyFill="1" applyBorder="1"/>
    <xf numFmtId="0" fontId="19" fillId="0" borderId="0" xfId="90" applyFont="1"/>
    <xf numFmtId="49" fontId="19" fillId="0" borderId="37" xfId="91" applyNumberFormat="1" applyFont="1" applyBorder="1" applyAlignment="1">
      <alignment horizontal="center" vertical="center"/>
    </xf>
    <xf numFmtId="0" fontId="41" fillId="0" borderId="37" xfId="0" applyFont="1" applyBorder="1" applyAlignment="1">
      <alignment horizontal="left" vertical="center" wrapText="1" indent="1"/>
    </xf>
    <xf numFmtId="0" fontId="19" fillId="0" borderId="37" xfId="0" applyFont="1" applyBorder="1" applyAlignment="1">
      <alignment horizontal="center" vertical="center" wrapText="1"/>
    </xf>
    <xf numFmtId="43" fontId="43" fillId="0" borderId="37" xfId="167" applyFont="1" applyBorder="1" applyAlignment="1">
      <alignment vertical="center"/>
    </xf>
    <xf numFmtId="43" fontId="43" fillId="0" borderId="37" xfId="167" applyFont="1" applyBorder="1" applyAlignment="1">
      <alignment horizontal="center" vertical="center"/>
    </xf>
    <xf numFmtId="43" fontId="19" fillId="0" borderId="37" xfId="167" applyFont="1" applyBorder="1" applyAlignment="1">
      <alignment vertical="center"/>
    </xf>
    <xf numFmtId="0" fontId="19" fillId="0" borderId="37" xfId="0" applyFont="1" applyBorder="1" applyAlignment="1">
      <alignment horizontal="left" vertical="center" wrapText="1" indent="1"/>
    </xf>
    <xf numFmtId="43" fontId="61" fillId="0" borderId="37" xfId="167" applyFont="1" applyBorder="1" applyAlignment="1">
      <alignment vertical="center"/>
    </xf>
    <xf numFmtId="49" fontId="41" fillId="0" borderId="37" xfId="91" applyNumberFormat="1" applyFont="1" applyBorder="1" applyAlignment="1">
      <alignment horizontal="center" vertical="center"/>
    </xf>
    <xf numFmtId="49" fontId="41" fillId="48" borderId="37" xfId="91" applyNumberFormat="1" applyFont="1" applyFill="1" applyBorder="1" applyAlignment="1">
      <alignment horizontal="center" vertical="center"/>
    </xf>
    <xf numFmtId="0" fontId="41" fillId="48" borderId="37" xfId="0" applyFont="1" applyFill="1" applyBorder="1" applyAlignment="1">
      <alignment horizontal="left" vertical="center" wrapText="1" indent="1"/>
    </xf>
    <xf numFmtId="0" fontId="19" fillId="48" borderId="37" xfId="0" applyFont="1" applyFill="1" applyBorder="1" applyAlignment="1">
      <alignment horizontal="center" vertical="center" wrapText="1"/>
    </xf>
    <xf numFmtId="43" fontId="43" fillId="48" borderId="37" xfId="167" applyFont="1" applyFill="1" applyBorder="1" applyAlignment="1">
      <alignment vertical="center"/>
    </xf>
    <xf numFmtId="43" fontId="61" fillId="48" borderId="37" xfId="167" applyFont="1" applyFill="1" applyBorder="1" applyAlignment="1">
      <alignment vertical="center"/>
    </xf>
    <xf numFmtId="43" fontId="43" fillId="59" borderId="37" xfId="167" applyFont="1" applyFill="1" applyBorder="1" applyAlignment="1">
      <alignment vertical="center" wrapText="1"/>
    </xf>
    <xf numFmtId="0" fontId="43" fillId="0" borderId="37" xfId="167" applyNumberFormat="1" applyFont="1" applyBorder="1" applyAlignment="1">
      <alignment horizontal="center" vertical="center"/>
    </xf>
    <xf numFmtId="43" fontId="43" fillId="59" borderId="37" xfId="167" applyFont="1" applyFill="1" applyBorder="1" applyAlignment="1">
      <alignment horizontal="center" vertical="center" wrapText="1"/>
    </xf>
    <xf numFmtId="0" fontId="45" fillId="47" borderId="95" xfId="0" applyFont="1" applyFill="1" applyBorder="1"/>
    <xf numFmtId="0" fontId="45" fillId="47" borderId="93" xfId="0" applyFont="1" applyFill="1" applyBorder="1"/>
    <xf numFmtId="0" fontId="41" fillId="49" borderId="49" xfId="0" applyFont="1" applyFill="1" applyBorder="1" applyAlignment="1">
      <alignment vertical="center" wrapText="1"/>
    </xf>
    <xf numFmtId="2" fontId="45" fillId="0" borderId="27" xfId="0" applyNumberFormat="1" applyFont="1" applyBorder="1" applyAlignment="1">
      <alignment horizontal="center" vertical="center"/>
    </xf>
    <xf numFmtId="2" fontId="0" fillId="0" borderId="0" xfId="0" applyNumberFormat="1"/>
    <xf numFmtId="0" fontId="60" fillId="48" borderId="37" xfId="0" applyFont="1" applyFill="1" applyBorder="1" applyAlignment="1" applyProtection="1">
      <alignment horizontal="center" vertical="center" wrapText="1"/>
      <protection locked="0"/>
    </xf>
    <xf numFmtId="0" fontId="41" fillId="48" borderId="37" xfId="0" applyFont="1" applyFill="1" applyBorder="1" applyAlignment="1">
      <alignment horizontal="center" vertical="center" wrapText="1"/>
    </xf>
    <xf numFmtId="43" fontId="40" fillId="48" borderId="37" xfId="167" applyFont="1" applyFill="1" applyBorder="1" applyAlignment="1">
      <alignment vertical="center"/>
    </xf>
    <xf numFmtId="49" fontId="19" fillId="48" borderId="37" xfId="91" applyNumberFormat="1" applyFont="1" applyFill="1" applyBorder="1" applyAlignment="1">
      <alignment horizontal="center" vertical="center"/>
    </xf>
    <xf numFmtId="43" fontId="43" fillId="48" borderId="37" xfId="167" applyFont="1" applyFill="1" applyBorder="1" applyAlignment="1">
      <alignment horizontal="center" vertical="center"/>
    </xf>
    <xf numFmtId="43" fontId="19" fillId="48" borderId="37" xfId="167" applyFont="1" applyFill="1" applyBorder="1" applyAlignment="1">
      <alignment vertical="center"/>
    </xf>
    <xf numFmtId="43" fontId="43" fillId="0" borderId="19" xfId="0" applyNumberFormat="1" applyFont="1" applyBorder="1" applyAlignment="1">
      <alignment horizontal="center" vertical="center"/>
    </xf>
    <xf numFmtId="43" fontId="19" fillId="0" borderId="19" xfId="0" applyNumberFormat="1" applyFont="1" applyBorder="1" applyAlignment="1">
      <alignment horizontal="center" vertical="center"/>
    </xf>
    <xf numFmtId="44" fontId="40" fillId="52" borderId="19" xfId="0" applyNumberFormat="1" applyFont="1" applyFill="1" applyBorder="1"/>
    <xf numFmtId="164" fontId="40" fillId="52" borderId="19" xfId="169" applyFont="1" applyFill="1" applyBorder="1"/>
    <xf numFmtId="44" fontId="19" fillId="0" borderId="23" xfId="84" applyFont="1" applyBorder="1" applyAlignment="1">
      <alignment horizontal="center" vertical="center"/>
    </xf>
    <xf numFmtId="44" fontId="19" fillId="0" borderId="19" xfId="84" applyFont="1" applyFill="1" applyBorder="1" applyAlignment="1">
      <alignment horizontal="center" vertical="center"/>
    </xf>
    <xf numFmtId="44" fontId="19" fillId="0" borderId="29" xfId="84" applyFont="1" applyFill="1" applyBorder="1" applyAlignment="1">
      <alignment horizontal="center" vertical="center"/>
    </xf>
    <xf numFmtId="44" fontId="40" fillId="58" borderId="19" xfId="162" applyFont="1" applyFill="1" applyBorder="1" applyAlignment="1">
      <alignment horizontal="center" vertical="center"/>
    </xf>
    <xf numFmtId="43" fontId="19" fillId="0" borderId="19" xfId="0" applyNumberFormat="1" applyFont="1" applyBorder="1" applyAlignment="1">
      <alignment vertical="center"/>
    </xf>
    <xf numFmtId="0" fontId="19" fillId="0" borderId="29" xfId="0" applyFont="1" applyFill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36" fillId="47" borderId="24" xfId="0" applyFont="1" applyFill="1" applyBorder="1" applyAlignment="1">
      <alignment horizontal="center" vertical="center"/>
    </xf>
    <xf numFmtId="0" fontId="19" fillId="47" borderId="24" xfId="0" applyFont="1" applyFill="1" applyBorder="1" applyAlignment="1">
      <alignment horizontal="center" vertical="center"/>
    </xf>
    <xf numFmtId="164" fontId="0" fillId="0" borderId="0" xfId="0" applyNumberFormat="1"/>
    <xf numFmtId="0" fontId="40" fillId="61" borderId="19" xfId="0" applyFont="1" applyFill="1" applyBorder="1" applyAlignment="1">
      <alignment horizontal="center"/>
    </xf>
    <xf numFmtId="44" fontId="40" fillId="61" borderId="19" xfId="0" applyNumberFormat="1" applyFont="1" applyFill="1" applyBorder="1"/>
    <xf numFmtId="43" fontId="19" fillId="47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vertical="center"/>
    </xf>
    <xf numFmtId="164" fontId="0" fillId="0" borderId="0" xfId="0" applyNumberFormat="1" applyAlignment="1">
      <alignment horizontal="center" vertical="center"/>
    </xf>
    <xf numFmtId="43" fontId="19" fillId="47" borderId="19" xfId="0" applyNumberFormat="1" applyFont="1" applyFill="1" applyBorder="1" applyAlignment="1">
      <alignment vertical="center"/>
    </xf>
    <xf numFmtId="43" fontId="0" fillId="0" borderId="0" xfId="0" applyNumberFormat="1" applyAlignment="1">
      <alignment horizontal="center" vertical="center"/>
    </xf>
    <xf numFmtId="164" fontId="62" fillId="0" borderId="0" xfId="0" applyNumberFormat="1" applyFont="1"/>
    <xf numFmtId="0" fontId="44" fillId="0" borderId="19" xfId="0" applyNumberFormat="1" applyFont="1" applyFill="1" applyBorder="1" applyAlignment="1">
      <alignment horizontal="center" vertical="center" wrapText="1"/>
    </xf>
    <xf numFmtId="0" fontId="43" fillId="0" borderId="29" xfId="0" applyFont="1" applyBorder="1" applyAlignment="1">
      <alignment horizontal="center" vertical="center"/>
    </xf>
    <xf numFmtId="0" fontId="63" fillId="61" borderId="56" xfId="0" applyFont="1" applyFill="1" applyBorder="1" applyAlignment="1">
      <alignment horizontal="center" vertical="center"/>
    </xf>
    <xf numFmtId="0" fontId="63" fillId="61" borderId="56" xfId="0" applyFont="1" applyFill="1" applyBorder="1" applyAlignment="1">
      <alignment horizontal="center" vertical="center" wrapText="1"/>
    </xf>
    <xf numFmtId="0" fontId="63" fillId="0" borderId="19" xfId="0" applyFont="1" applyBorder="1" applyAlignment="1">
      <alignment horizontal="center" vertical="center"/>
    </xf>
    <xf numFmtId="9" fontId="16" fillId="0" borderId="19" xfId="0" applyNumberFormat="1" applyFont="1" applyBorder="1" applyAlignment="1">
      <alignment vertical="center"/>
    </xf>
    <xf numFmtId="179" fontId="16" fillId="0" borderId="19" xfId="170" applyNumberFormat="1" applyFont="1" applyBorder="1" applyAlignment="1">
      <alignment vertical="center"/>
    </xf>
    <xf numFmtId="0" fontId="64" fillId="0" borderId="0" xfId="0" applyFont="1" applyFill="1" applyBorder="1" applyAlignment="1">
      <alignment horizontal="center"/>
    </xf>
    <xf numFmtId="0" fontId="64" fillId="0" borderId="22" xfId="0" applyFont="1" applyBorder="1"/>
    <xf numFmtId="0" fontId="65" fillId="0" borderId="25" xfId="0" applyFont="1" applyBorder="1"/>
    <xf numFmtId="0" fontId="65" fillId="0" borderId="0" xfId="0" applyFont="1"/>
    <xf numFmtId="0" fontId="64" fillId="0" borderId="22" xfId="0" applyFont="1" applyBorder="1" applyAlignment="1">
      <alignment vertical="center"/>
    </xf>
    <xf numFmtId="0" fontId="64" fillId="0" borderId="30" xfId="0" applyFont="1" applyBorder="1" applyAlignment="1">
      <alignment horizontal="center" vertical="center"/>
    </xf>
    <xf numFmtId="0" fontId="65" fillId="48" borderId="56" xfId="0" applyFont="1" applyFill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9" fillId="0" borderId="29" xfId="0" applyFont="1" applyFill="1" applyBorder="1" applyAlignment="1">
      <alignment horizontal="center" vertical="center"/>
    </xf>
    <xf numFmtId="0" fontId="19" fillId="0" borderId="29" xfId="0" applyFont="1" applyFill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41" fillId="0" borderId="19" xfId="0" applyFont="1" applyBorder="1" applyAlignment="1">
      <alignment horizontal="center" vertical="center"/>
    </xf>
    <xf numFmtId="0" fontId="41" fillId="52" borderId="19" xfId="0" applyFont="1" applyFill="1" applyBorder="1" applyAlignment="1">
      <alignment horizontal="center"/>
    </xf>
    <xf numFmtId="164" fontId="41" fillId="52" borderId="19" xfId="169" applyFont="1" applyFill="1" applyBorder="1"/>
    <xf numFmtId="0" fontId="41" fillId="0" borderId="19" xfId="0" applyFont="1" applyBorder="1" applyAlignment="1">
      <alignment horizontal="center"/>
    </xf>
    <xf numFmtId="0" fontId="41" fillId="0" borderId="19" xfId="0" applyFont="1" applyBorder="1"/>
    <xf numFmtId="0" fontId="19" fillId="0" borderId="19" xfId="0" applyFont="1" applyBorder="1"/>
    <xf numFmtId="2" fontId="19" fillId="0" borderId="19" xfId="0" applyNumberFormat="1" applyFont="1" applyBorder="1" applyAlignment="1">
      <alignment horizontal="center" vertical="center"/>
    </xf>
    <xf numFmtId="0" fontId="43" fillId="0" borderId="23" xfId="0" applyFont="1" applyBorder="1"/>
    <xf numFmtId="0" fontId="41" fillId="0" borderId="19" xfId="0" applyFont="1" applyBorder="1" applyAlignment="1">
      <alignment vertical="center"/>
    </xf>
    <xf numFmtId="176" fontId="59" fillId="55" borderId="66" xfId="0" applyNumberFormat="1" applyFont="1" applyFill="1" applyBorder="1" applyAlignment="1">
      <alignment horizontal="center"/>
    </xf>
    <xf numFmtId="2" fontId="19" fillId="47" borderId="19" xfId="0" applyNumberFormat="1" applyFont="1" applyFill="1" applyBorder="1" applyAlignment="1">
      <alignment horizontal="center" vertical="center"/>
    </xf>
    <xf numFmtId="4" fontId="0" fillId="0" borderId="0" xfId="0" applyNumberFormat="1"/>
    <xf numFmtId="0" fontId="19" fillId="0" borderId="1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43" fontId="43" fillId="47" borderId="19" xfId="0" applyNumberFormat="1" applyFont="1" applyFill="1" applyBorder="1" applyAlignment="1">
      <alignment horizontal="center" vertical="center"/>
    </xf>
    <xf numFmtId="2" fontId="43" fillId="47" borderId="19" xfId="0" applyNumberFormat="1" applyFont="1" applyFill="1" applyBorder="1" applyAlignment="1">
      <alignment horizontal="center" vertical="center"/>
    </xf>
    <xf numFmtId="44" fontId="43" fillId="47" borderId="23" xfId="84" applyFont="1" applyFill="1" applyBorder="1" applyAlignment="1">
      <alignment horizontal="center" vertical="center"/>
    </xf>
    <xf numFmtId="44" fontId="43" fillId="47" borderId="19" xfId="84" applyFont="1" applyFill="1" applyBorder="1" applyAlignment="1">
      <alignment horizontal="center" vertical="center"/>
    </xf>
    <xf numFmtId="44" fontId="43" fillId="47" borderId="29" xfId="84" applyFont="1" applyFill="1" applyBorder="1" applyAlignment="1">
      <alignment horizontal="center" vertical="center"/>
    </xf>
    <xf numFmtId="43" fontId="19" fillId="0" borderId="111" xfId="167" applyFont="1" applyBorder="1" applyAlignment="1">
      <alignment vertical="center"/>
    </xf>
    <xf numFmtId="43" fontId="61" fillId="0" borderId="110" xfId="167" applyFont="1" applyBorder="1" applyAlignment="1">
      <alignment vertical="center"/>
    </xf>
    <xf numFmtId="44" fontId="41" fillId="58" borderId="19" xfId="162" applyFont="1" applyFill="1" applyBorder="1" applyAlignment="1">
      <alignment horizontal="center" vertical="center"/>
    </xf>
    <xf numFmtId="0" fontId="19" fillId="0" borderId="19" xfId="90" applyFont="1" applyBorder="1" applyAlignment="1">
      <alignment horizontal="left" vertical="center" wrapText="1"/>
    </xf>
    <xf numFmtId="43" fontId="43" fillId="47" borderId="37" xfId="167" applyFont="1" applyFill="1" applyBorder="1" applyAlignment="1">
      <alignment horizontal="center" vertical="center" wrapText="1"/>
    </xf>
    <xf numFmtId="0" fontId="43" fillId="47" borderId="37" xfId="167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165" fontId="0" fillId="0" borderId="0" xfId="0" applyNumberFormat="1"/>
    <xf numFmtId="0" fontId="19" fillId="0" borderId="19" xfId="0" applyFont="1" applyFill="1" applyBorder="1" applyAlignment="1">
      <alignment vertical="center"/>
    </xf>
    <xf numFmtId="0" fontId="19" fillId="0" borderId="21" xfId="0" applyFont="1" applyFill="1" applyBorder="1" applyAlignment="1">
      <alignment vertical="center"/>
    </xf>
    <xf numFmtId="0" fontId="19" fillId="47" borderId="19" xfId="90" applyNumberFormat="1" applyFont="1" applyFill="1" applyBorder="1" applyAlignment="1">
      <alignment horizontal="left" vertical="center" wrapText="1"/>
    </xf>
    <xf numFmtId="1" fontId="19" fillId="47" borderId="19" xfId="90" applyNumberFormat="1" applyFont="1" applyFill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9" fillId="0" borderId="29" xfId="0" applyFont="1" applyFill="1" applyBorder="1" applyAlignment="1">
      <alignment horizontal="center" vertical="center"/>
    </xf>
    <xf numFmtId="0" fontId="19" fillId="47" borderId="29" xfId="0" applyFont="1" applyFill="1" applyBorder="1" applyAlignment="1">
      <alignment horizontal="center" vertical="center"/>
    </xf>
    <xf numFmtId="0" fontId="41" fillId="0" borderId="19" xfId="0" applyFont="1" applyBorder="1" applyAlignment="1">
      <alignment horizontal="center" vertical="center"/>
    </xf>
    <xf numFmtId="0" fontId="19" fillId="0" borderId="29" xfId="0" applyFont="1" applyBorder="1" applyAlignment="1">
      <alignment horizontal="center" vertical="center"/>
    </xf>
    <xf numFmtId="0" fontId="40" fillId="0" borderId="19" xfId="0" applyFont="1" applyBorder="1" applyAlignment="1">
      <alignment vertical="center" wrapText="1"/>
    </xf>
    <xf numFmtId="0" fontId="19" fillId="0" borderId="23" xfId="0" applyFont="1" applyBorder="1"/>
    <xf numFmtId="0" fontId="19" fillId="0" borderId="29" xfId="0" applyFont="1" applyBorder="1"/>
    <xf numFmtId="0" fontId="41" fillId="0" borderId="0" xfId="0" applyFont="1" applyFill="1" applyBorder="1" applyAlignment="1">
      <alignment vertical="center" wrapText="1"/>
    </xf>
    <xf numFmtId="0" fontId="41" fillId="0" borderId="0" xfId="0" applyFont="1" applyFill="1" applyBorder="1" applyAlignment="1">
      <alignment horizontal="left" vertical="center" wrapText="1"/>
    </xf>
    <xf numFmtId="0" fontId="55" fillId="0" borderId="54" xfId="44" applyFont="1" applyFill="1" applyBorder="1" applyAlignment="1">
      <alignment horizontal="center" vertical="center"/>
    </xf>
    <xf numFmtId="0" fontId="55" fillId="0" borderId="0" xfId="44" applyFont="1" applyFill="1" applyBorder="1" applyAlignment="1">
      <alignment horizontal="center" vertical="center"/>
    </xf>
    <xf numFmtId="0" fontId="55" fillId="0" borderId="24" xfId="44" applyFont="1" applyFill="1" applyBorder="1" applyAlignment="1">
      <alignment horizontal="center" vertical="center"/>
    </xf>
    <xf numFmtId="43" fontId="55" fillId="0" borderId="85" xfId="44" applyNumberFormat="1" applyFont="1" applyFill="1" applyBorder="1"/>
    <xf numFmtId="0" fontId="56" fillId="53" borderId="92" xfId="44" applyFont="1" applyFill="1" applyBorder="1" applyAlignment="1">
      <alignment horizontal="center" vertical="center"/>
    </xf>
    <xf numFmtId="0" fontId="56" fillId="53" borderId="30" xfId="44" applyFont="1" applyFill="1" applyBorder="1" applyAlignment="1">
      <alignment horizontal="center" vertical="center"/>
    </xf>
    <xf numFmtId="0" fontId="56" fillId="53" borderId="30" xfId="44" applyFont="1" applyFill="1" applyBorder="1" applyAlignment="1">
      <alignment horizontal="center" vertical="center" wrapText="1"/>
    </xf>
    <xf numFmtId="49" fontId="43" fillId="0" borderId="19" xfId="0" applyNumberFormat="1" applyFont="1" applyBorder="1" applyAlignment="1">
      <alignment horizontal="center" vertical="center"/>
    </xf>
    <xf numFmtId="49" fontId="19" fillId="0" borderId="19" xfId="0" applyNumberFormat="1" applyFont="1" applyBorder="1" applyAlignment="1">
      <alignment horizontal="center" vertical="center"/>
    </xf>
    <xf numFmtId="0" fontId="19" fillId="0" borderId="19" xfId="0" applyFont="1" applyFill="1" applyBorder="1" applyAlignment="1">
      <alignment wrapText="1"/>
    </xf>
    <xf numFmtId="49" fontId="43" fillId="0" borderId="19" xfId="0" applyNumberFormat="1" applyFont="1" applyFill="1" applyBorder="1" applyAlignment="1">
      <alignment horizontal="center" vertical="center"/>
    </xf>
    <xf numFmtId="0" fontId="43" fillId="0" borderId="19" xfId="0" applyFont="1" applyFill="1" applyBorder="1"/>
    <xf numFmtId="0" fontId="43" fillId="0" borderId="19" xfId="0" applyFont="1" applyFill="1" applyBorder="1" applyAlignment="1">
      <alignment wrapText="1"/>
    </xf>
    <xf numFmtId="0" fontId="43" fillId="0" borderId="19" xfId="0" applyFont="1" applyFill="1" applyBorder="1" applyAlignment="1">
      <alignment vertical="center" wrapText="1"/>
    </xf>
    <xf numFmtId="1" fontId="19" fillId="0" borderId="19" xfId="90" applyNumberFormat="1" applyFont="1" applyFill="1" applyBorder="1" applyAlignment="1">
      <alignment horizontal="center" vertical="center"/>
    </xf>
    <xf numFmtId="0" fontId="43" fillId="0" borderId="29" xfId="0" applyFont="1" applyBorder="1"/>
    <xf numFmtId="0" fontId="19" fillId="0" borderId="19" xfId="0" applyFont="1" applyFill="1" applyBorder="1"/>
    <xf numFmtId="0" fontId="57" fillId="55" borderId="65" xfId="0" applyFont="1" applyFill="1" applyBorder="1" applyAlignment="1">
      <alignment vertical="center"/>
    </xf>
    <xf numFmtId="176" fontId="57" fillId="55" borderId="66" xfId="0" applyNumberFormat="1" applyFont="1" applyFill="1" applyBorder="1" applyAlignment="1">
      <alignment horizontal="center" vertical="center"/>
    </xf>
    <xf numFmtId="176" fontId="57" fillId="55" borderId="0" xfId="0" applyNumberFormat="1" applyFont="1" applyFill="1" applyBorder="1" applyAlignment="1">
      <alignment horizontal="center" vertical="center"/>
    </xf>
    <xf numFmtId="0" fontId="58" fillId="55" borderId="54" xfId="0" applyFont="1" applyFill="1" applyBorder="1" applyAlignment="1">
      <alignment horizontal="center"/>
    </xf>
    <xf numFmtId="4" fontId="57" fillId="55" borderId="115" xfId="0" applyNumberFormat="1" applyFont="1" applyFill="1" applyBorder="1" applyAlignment="1">
      <alignment horizontal="center" vertical="center"/>
    </xf>
    <xf numFmtId="4" fontId="57" fillId="55" borderId="114" xfId="0" applyNumberFormat="1" applyFont="1" applyFill="1" applyBorder="1" applyAlignment="1">
      <alignment horizontal="center" vertical="center"/>
    </xf>
    <xf numFmtId="4" fontId="57" fillId="55" borderId="117" xfId="0" applyNumberFormat="1" applyFont="1" applyFill="1" applyBorder="1" applyAlignment="1">
      <alignment horizontal="center"/>
    </xf>
    <xf numFmtId="4" fontId="57" fillId="55" borderId="117" xfId="0" applyNumberFormat="1" applyFont="1" applyFill="1" applyBorder="1" applyAlignment="1">
      <alignment horizontal="center" vertical="center"/>
    </xf>
    <xf numFmtId="4" fontId="57" fillId="55" borderId="116" xfId="0" applyNumberFormat="1" applyFont="1" applyFill="1" applyBorder="1" applyAlignment="1">
      <alignment horizontal="center" vertical="center"/>
    </xf>
    <xf numFmtId="176" fontId="59" fillId="63" borderId="66" xfId="0" applyNumberFormat="1" applyFont="1" applyFill="1" applyBorder="1" applyAlignment="1">
      <alignment horizontal="center"/>
    </xf>
    <xf numFmtId="0" fontId="68" fillId="0" borderId="112" xfId="0" applyFont="1" applyBorder="1" applyAlignment="1">
      <alignment vertical="center"/>
    </xf>
    <xf numFmtId="0" fontId="68" fillId="0" borderId="113" xfId="0" applyFont="1" applyBorder="1" applyAlignment="1">
      <alignment vertical="center"/>
    </xf>
    <xf numFmtId="0" fontId="57" fillId="55" borderId="61" xfId="0" applyFont="1" applyFill="1" applyBorder="1" applyAlignment="1">
      <alignment horizontal="center" vertical="center"/>
    </xf>
    <xf numFmtId="176" fontId="57" fillId="55" borderId="68" xfId="0" applyNumberFormat="1" applyFont="1" applyFill="1" applyBorder="1" applyAlignment="1">
      <alignment horizontal="center"/>
    </xf>
    <xf numFmtId="4" fontId="54" fillId="55" borderId="123" xfId="167" applyNumberFormat="1" applyFont="1" applyFill="1" applyBorder="1" applyAlignment="1" applyProtection="1">
      <alignment horizontal="center" vertical="center"/>
    </xf>
    <xf numFmtId="0" fontId="58" fillId="55" borderId="68" xfId="0" applyFont="1" applyFill="1" applyBorder="1"/>
    <xf numFmtId="0" fontId="58" fillId="55" borderId="0" xfId="0" applyFont="1" applyFill="1" applyBorder="1" applyAlignment="1"/>
    <xf numFmtId="0" fontId="58" fillId="55" borderId="24" xfId="0" applyFont="1" applyFill="1" applyBorder="1" applyAlignment="1"/>
    <xf numFmtId="0" fontId="58" fillId="55" borderId="27" xfId="0" applyFont="1" applyFill="1" applyBorder="1" applyAlignment="1"/>
    <xf numFmtId="0" fontId="58" fillId="55" borderId="38" xfId="0" applyFont="1" applyFill="1" applyBorder="1" applyAlignment="1"/>
    <xf numFmtId="0" fontId="53" fillId="55" borderId="120" xfId="0" applyFont="1" applyFill="1" applyBorder="1" applyAlignment="1">
      <alignment horizontal="center" vertical="center"/>
    </xf>
    <xf numFmtId="0" fontId="57" fillId="55" borderId="122" xfId="0" applyFont="1" applyFill="1" applyBorder="1" applyAlignment="1">
      <alignment horizontal="center" vertical="center"/>
    </xf>
    <xf numFmtId="4" fontId="57" fillId="55" borderId="122" xfId="0" applyNumberFormat="1" applyFont="1" applyFill="1" applyBorder="1" applyAlignment="1">
      <alignment horizontal="center" vertical="center"/>
    </xf>
    <xf numFmtId="4" fontId="57" fillId="55" borderId="21" xfId="0" applyNumberFormat="1" applyFont="1" applyFill="1" applyBorder="1" applyAlignment="1">
      <alignment horizontal="center" vertical="center"/>
    </xf>
    <xf numFmtId="4" fontId="53" fillId="55" borderId="122" xfId="0" applyNumberFormat="1" applyFont="1" applyFill="1" applyBorder="1" applyAlignment="1">
      <alignment horizontal="center" vertical="center"/>
    </xf>
    <xf numFmtId="4" fontId="53" fillId="55" borderId="121" xfId="0" applyNumberFormat="1" applyFont="1" applyFill="1" applyBorder="1" applyAlignment="1">
      <alignment horizontal="center" vertical="center"/>
    </xf>
    <xf numFmtId="4" fontId="57" fillId="55" borderId="62" xfId="0" applyNumberFormat="1" applyFont="1" applyFill="1" applyBorder="1" applyAlignment="1">
      <alignment horizontal="center" vertical="center"/>
    </xf>
    <xf numFmtId="4" fontId="57" fillId="55" borderId="70" xfId="0" applyNumberFormat="1" applyFont="1" applyFill="1" applyBorder="1" applyAlignment="1">
      <alignment horizontal="center" vertical="center"/>
    </xf>
    <xf numFmtId="4" fontId="53" fillId="55" borderId="66" xfId="0" applyNumberFormat="1" applyFont="1" applyFill="1" applyBorder="1" applyAlignment="1">
      <alignment horizontal="center" vertical="center"/>
    </xf>
    <xf numFmtId="4" fontId="53" fillId="55" borderId="0" xfId="0" applyNumberFormat="1" applyFont="1" applyFill="1" applyBorder="1" applyAlignment="1">
      <alignment horizontal="center" vertical="center"/>
    </xf>
    <xf numFmtId="0" fontId="57" fillId="55" borderId="22" xfId="0" applyFont="1" applyFill="1" applyBorder="1" applyAlignment="1"/>
    <xf numFmtId="0" fontId="57" fillId="55" borderId="26" xfId="0" applyFont="1" applyFill="1" applyBorder="1" applyAlignment="1"/>
    <xf numFmtId="4" fontId="57" fillId="55" borderId="30" xfId="0" applyNumberFormat="1" applyFont="1" applyFill="1" applyBorder="1" applyAlignment="1">
      <alignment horizontal="center"/>
    </xf>
    <xf numFmtId="0" fontId="57" fillId="55" borderId="20" xfId="0" applyFont="1" applyFill="1" applyBorder="1" applyAlignment="1"/>
    <xf numFmtId="0" fontId="57" fillId="55" borderId="24" xfId="0" applyFont="1" applyFill="1" applyBorder="1" applyAlignment="1"/>
    <xf numFmtId="4" fontId="57" fillId="55" borderId="115" xfId="0" applyNumberFormat="1" applyFont="1" applyFill="1" applyBorder="1" applyAlignment="1">
      <alignment horizontal="center"/>
    </xf>
    <xf numFmtId="4" fontId="69" fillId="0" borderId="112" xfId="0" applyNumberFormat="1" applyFont="1" applyBorder="1" applyAlignment="1">
      <alignment vertical="center"/>
    </xf>
    <xf numFmtId="0" fontId="52" fillId="47" borderId="19" xfId="0" applyFont="1" applyFill="1" applyBorder="1" applyAlignment="1" applyProtection="1">
      <alignment vertical="center"/>
      <protection locked="0"/>
    </xf>
    <xf numFmtId="0" fontId="46" fillId="47" borderId="19" xfId="0" applyFont="1" applyFill="1" applyBorder="1" applyAlignment="1" applyProtection="1">
      <alignment horizontal="center" vertical="center" wrapText="1"/>
      <protection locked="0"/>
    </xf>
    <xf numFmtId="0" fontId="49" fillId="0" borderId="19" xfId="0" applyFont="1" applyBorder="1" applyAlignment="1" applyProtection="1">
      <alignment horizontal="center" vertical="center" wrapText="1"/>
      <protection locked="0"/>
    </xf>
    <xf numFmtId="0" fontId="52" fillId="0" borderId="19" xfId="0" applyFont="1" applyBorder="1" applyAlignment="1" applyProtection="1">
      <alignment horizontal="center" vertical="center" wrapText="1"/>
      <protection locked="0"/>
    </xf>
    <xf numFmtId="2" fontId="52" fillId="0" borderId="19" xfId="0" applyNumberFormat="1" applyFont="1" applyBorder="1" applyAlignment="1" applyProtection="1">
      <alignment horizontal="center" vertical="center" wrapText="1"/>
      <protection locked="0"/>
    </xf>
    <xf numFmtId="2" fontId="46" fillId="0" borderId="19" xfId="0" applyNumberFormat="1" applyFont="1" applyBorder="1" applyAlignment="1" applyProtection="1">
      <alignment horizontal="center" vertical="center" wrapText="1"/>
      <protection locked="0"/>
    </xf>
    <xf numFmtId="0" fontId="50" fillId="52" borderId="19" xfId="0" applyFont="1" applyFill="1" applyBorder="1" applyAlignment="1" applyProtection="1">
      <alignment horizontal="center" vertical="center"/>
      <protection locked="0"/>
    </xf>
    <xf numFmtId="0" fontId="50" fillId="52" borderId="19" xfId="0" applyNumberFormat="1" applyFont="1" applyFill="1" applyBorder="1" applyAlignment="1" applyProtection="1">
      <alignment horizontal="center" vertical="center"/>
      <protection locked="0"/>
    </xf>
    <xf numFmtId="176" fontId="50" fillId="52" borderId="19" xfId="0" applyNumberFormat="1" applyFont="1" applyFill="1" applyBorder="1" applyAlignment="1" applyProtection="1">
      <alignment horizontal="center" vertical="center"/>
      <protection locked="0"/>
    </xf>
    <xf numFmtId="0" fontId="40" fillId="52" borderId="19" xfId="0" applyFont="1" applyFill="1" applyBorder="1" applyAlignment="1">
      <alignment horizontal="center" vertical="center"/>
    </xf>
    <xf numFmtId="2" fontId="51" fillId="52" borderId="19" xfId="0" applyNumberFormat="1" applyFont="1" applyFill="1" applyBorder="1" applyAlignment="1">
      <alignment horizontal="center" vertical="center"/>
    </xf>
    <xf numFmtId="0" fontId="47" fillId="52" borderId="19" xfId="0" applyFont="1" applyFill="1" applyBorder="1" applyAlignment="1">
      <alignment vertical="center"/>
    </xf>
    <xf numFmtId="0" fontId="52" fillId="47" borderId="19" xfId="0" applyFont="1" applyFill="1" applyBorder="1" applyAlignment="1" applyProtection="1">
      <alignment horizontal="center" vertical="center"/>
      <protection locked="0"/>
    </xf>
    <xf numFmtId="0" fontId="49" fillId="31" borderId="19" xfId="0" applyFont="1" applyFill="1" applyBorder="1" applyAlignment="1" applyProtection="1">
      <alignment horizontal="center" vertical="top" wrapText="1"/>
      <protection locked="0"/>
    </xf>
    <xf numFmtId="0" fontId="46" fillId="0" borderId="19" xfId="0" applyFont="1" applyBorder="1" applyAlignment="1" applyProtection="1">
      <alignment horizontal="center" vertical="center" wrapText="1"/>
      <protection locked="0"/>
    </xf>
    <xf numFmtId="0" fontId="0" fillId="0" borderId="19" xfId="0" applyBorder="1" applyAlignment="1">
      <alignment horizontal="center" vertical="center"/>
    </xf>
    <xf numFmtId="0" fontId="49" fillId="31" borderId="19" xfId="0" applyFont="1" applyFill="1" applyBorder="1" applyAlignment="1" applyProtection="1">
      <alignment horizontal="center" vertical="center" wrapText="1"/>
      <protection locked="0"/>
    </xf>
    <xf numFmtId="0" fontId="49" fillId="0" borderId="30" xfId="0" applyFont="1" applyBorder="1" applyAlignment="1" applyProtection="1">
      <alignment horizontal="center" vertical="center"/>
      <protection locked="0"/>
    </xf>
    <xf numFmtId="2" fontId="49" fillId="0" borderId="56" xfId="0" applyNumberFormat="1" applyFont="1" applyBorder="1" applyAlignment="1" applyProtection="1">
      <alignment horizontal="center" vertical="center" wrapText="1"/>
      <protection locked="0"/>
    </xf>
    <xf numFmtId="0" fontId="52" fillId="47" borderId="56" xfId="0" applyFont="1" applyFill="1" applyBorder="1" applyAlignment="1" applyProtection="1">
      <alignment horizontal="center" vertical="center" wrapText="1"/>
      <protection locked="0"/>
    </xf>
    <xf numFmtId="0" fontId="49" fillId="31" borderId="56" xfId="0" applyFont="1" applyFill="1" applyBorder="1" applyAlignment="1" applyProtection="1">
      <alignment horizontal="center" vertical="center" wrapText="1"/>
      <protection locked="0"/>
    </xf>
    <xf numFmtId="0" fontId="46" fillId="0" borderId="30" xfId="0" applyFont="1" applyBorder="1" applyAlignment="1" applyProtection="1">
      <alignment horizontal="center" vertical="center"/>
      <protection locked="0"/>
    </xf>
    <xf numFmtId="2" fontId="50" fillId="52" borderId="19" xfId="0" applyNumberFormat="1" applyFont="1" applyFill="1" applyBorder="1" applyAlignment="1" applyProtection="1">
      <alignment horizontal="center" vertical="center"/>
      <protection locked="0"/>
    </xf>
    <xf numFmtId="0" fontId="19" fillId="0" borderId="19" xfId="0" applyFont="1" applyBorder="1" applyAlignment="1">
      <alignment horizontal="center" vertical="center"/>
    </xf>
    <xf numFmtId="0" fontId="19" fillId="47" borderId="19" xfId="0" applyFont="1" applyFill="1" applyBorder="1" applyAlignment="1">
      <alignment horizontal="center" vertical="center" wrapText="1"/>
    </xf>
    <xf numFmtId="0" fontId="41" fillId="61" borderId="19" xfId="0" applyFont="1" applyFill="1" applyBorder="1" applyAlignment="1">
      <alignment horizontal="center" vertical="center"/>
    </xf>
    <xf numFmtId="0" fontId="19" fillId="47" borderId="19" xfId="0" applyFont="1" applyFill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/>
    </xf>
    <xf numFmtId="0" fontId="19" fillId="0" borderId="29" xfId="0" applyFont="1" applyFill="1" applyBorder="1" applyAlignment="1">
      <alignment horizontal="center" vertical="center"/>
    </xf>
    <xf numFmtId="0" fontId="19" fillId="0" borderId="30" xfId="0" applyFont="1" applyFill="1" applyBorder="1" applyAlignment="1">
      <alignment horizontal="center" vertical="center" wrapText="1"/>
    </xf>
    <xf numFmtId="0" fontId="43" fillId="0" borderId="0" xfId="0" applyFont="1" applyFill="1" applyBorder="1" applyAlignment="1">
      <alignment vertical="center" wrapText="1"/>
    </xf>
    <xf numFmtId="2" fontId="19" fillId="0" borderId="30" xfId="0" applyNumberFormat="1" applyFont="1" applyFill="1" applyBorder="1" applyAlignment="1">
      <alignment horizontal="center" vertical="center"/>
    </xf>
    <xf numFmtId="44" fontId="43" fillId="0" borderId="23" xfId="162" applyFont="1" applyBorder="1" applyAlignment="1">
      <alignment horizontal="center" vertical="center"/>
    </xf>
    <xf numFmtId="44" fontId="43" fillId="0" borderId="19" xfId="162" applyFont="1" applyFill="1" applyBorder="1" applyAlignment="1">
      <alignment horizontal="center" vertical="center"/>
    </xf>
    <xf numFmtId="44" fontId="43" fillId="0" borderId="29" xfId="162" applyFont="1" applyFill="1" applyBorder="1" applyAlignment="1">
      <alignment horizontal="center" vertical="center"/>
    </xf>
    <xf numFmtId="49" fontId="19" fillId="0" borderId="19" xfId="0" applyNumberFormat="1" applyFont="1" applyFill="1" applyBorder="1" applyAlignment="1">
      <alignment horizontal="center" vertical="center" wrapText="1"/>
    </xf>
    <xf numFmtId="0" fontId="19" fillId="47" borderId="24" xfId="0" applyFont="1" applyFill="1" applyBorder="1" applyAlignment="1">
      <alignment horizontal="center" vertical="center"/>
    </xf>
    <xf numFmtId="0" fontId="36" fillId="47" borderId="24" xfId="0" applyFont="1" applyFill="1" applyBorder="1" applyAlignment="1">
      <alignment horizontal="center" vertical="center"/>
    </xf>
    <xf numFmtId="43" fontId="61" fillId="0" borderId="111" xfId="167" applyFont="1" applyBorder="1" applyAlignment="1">
      <alignment vertical="center"/>
    </xf>
    <xf numFmtId="2" fontId="19" fillId="0" borderId="19" xfId="0" applyNumberFormat="1" applyFont="1" applyFill="1" applyBorder="1" applyAlignment="1">
      <alignment horizontal="center" vertical="center"/>
    </xf>
    <xf numFmtId="0" fontId="0" fillId="0" borderId="19" xfId="0" applyBorder="1"/>
    <xf numFmtId="0" fontId="56" fillId="47" borderId="19" xfId="171" applyFont="1" applyFill="1" applyBorder="1" applyAlignment="1">
      <alignment horizontal="center" vertical="center" wrapText="1"/>
    </xf>
    <xf numFmtId="0" fontId="56" fillId="47" borderId="19" xfId="171" applyFont="1" applyFill="1" applyBorder="1" applyAlignment="1">
      <alignment horizontal="center" vertical="top" wrapText="1"/>
    </xf>
    <xf numFmtId="180" fontId="56" fillId="47" borderId="19" xfId="171" applyNumberFormat="1" applyFont="1" applyFill="1" applyBorder="1" applyAlignment="1">
      <alignment horizontal="right" vertical="center" wrapText="1"/>
    </xf>
    <xf numFmtId="0" fontId="71" fillId="0" borderId="19" xfId="0" applyFont="1" applyBorder="1" applyAlignment="1">
      <alignment vertical="center"/>
    </xf>
    <xf numFmtId="2" fontId="56" fillId="0" borderId="34" xfId="44" applyNumberFormat="1" applyFont="1" applyFill="1" applyBorder="1" applyAlignment="1">
      <alignment horizontal="center" vertical="center" wrapText="1"/>
    </xf>
    <xf numFmtId="0" fontId="55" fillId="0" borderId="51" xfId="44" applyNumberFormat="1" applyFont="1" applyFill="1" applyBorder="1" applyAlignment="1">
      <alignment horizontal="center"/>
    </xf>
    <xf numFmtId="44" fontId="40" fillId="61" borderId="29" xfId="84" applyFont="1" applyFill="1" applyBorder="1" applyAlignment="1">
      <alignment horizontal="center" vertical="center"/>
    </xf>
    <xf numFmtId="0" fontId="19" fillId="0" borderId="23" xfId="0" applyFont="1" applyFill="1" applyBorder="1" applyAlignment="1">
      <alignment horizontal="center" vertical="center"/>
    </xf>
    <xf numFmtId="0" fontId="19" fillId="0" borderId="29" xfId="0" applyFont="1" applyFill="1" applyBorder="1" applyAlignment="1">
      <alignment horizontal="center" vertical="center"/>
    </xf>
    <xf numFmtId="0" fontId="43" fillId="0" borderId="0" xfId="0" applyFont="1" applyAlignment="1">
      <alignment horizontal="left" vertical="top"/>
    </xf>
    <xf numFmtId="164" fontId="40" fillId="58" borderId="0" xfId="0" applyNumberFormat="1" applyFont="1" applyFill="1"/>
    <xf numFmtId="49" fontId="19" fillId="0" borderId="23" xfId="0" applyNumberFormat="1" applyFont="1" applyFill="1" applyBorder="1" applyAlignment="1">
      <alignment horizontal="center" vertical="center"/>
    </xf>
    <xf numFmtId="0" fontId="19" fillId="0" borderId="21" xfId="0" applyFont="1" applyFill="1" applyBorder="1" applyAlignment="1">
      <alignment horizontal="center" vertical="center"/>
    </xf>
    <xf numFmtId="0" fontId="19" fillId="0" borderId="29" xfId="0" applyNumberFormat="1" applyFont="1" applyFill="1" applyBorder="1" applyAlignment="1">
      <alignment horizontal="center" vertical="center" wrapText="1"/>
    </xf>
    <xf numFmtId="1" fontId="19" fillId="0" borderId="29" xfId="90" applyNumberFormat="1" applyFont="1" applyFill="1" applyBorder="1" applyAlignment="1">
      <alignment horizontal="center" vertical="center"/>
    </xf>
    <xf numFmtId="44" fontId="19" fillId="0" borderId="19" xfId="162" applyFont="1" applyFill="1" applyBorder="1" applyAlignment="1">
      <alignment horizontal="center" vertical="center"/>
    </xf>
    <xf numFmtId="0" fontId="19" fillId="47" borderId="19" xfId="0" applyFont="1" applyFill="1" applyBorder="1" applyAlignment="1">
      <alignment wrapText="1"/>
    </xf>
    <xf numFmtId="43" fontId="67" fillId="0" borderId="0" xfId="0" applyNumberFormat="1" applyFont="1" applyAlignment="1">
      <alignment horizontal="center" vertical="center"/>
    </xf>
    <xf numFmtId="43" fontId="19" fillId="65" borderId="19" xfId="0" applyNumberFormat="1" applyFont="1" applyFill="1" applyBorder="1" applyAlignment="1">
      <alignment vertical="center"/>
    </xf>
    <xf numFmtId="43" fontId="19" fillId="65" borderId="19" xfId="0" applyNumberFormat="1" applyFont="1" applyFill="1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0" fontId="19" fillId="0" borderId="29" xfId="0" applyFont="1" applyBorder="1" applyAlignment="1">
      <alignment horizontal="center" vertical="center"/>
    </xf>
    <xf numFmtId="0" fontId="41" fillId="49" borderId="0" xfId="0" applyFont="1" applyFill="1" applyBorder="1" applyAlignment="1">
      <alignment horizontal="center" vertical="center" wrapText="1"/>
    </xf>
    <xf numFmtId="0" fontId="19" fillId="47" borderId="0" xfId="0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/>
    </xf>
    <xf numFmtId="10" fontId="19" fillId="0" borderId="0" xfId="0" applyNumberFormat="1" applyFont="1" applyFill="1" applyBorder="1" applyAlignment="1">
      <alignment horizontal="center" vertical="center"/>
    </xf>
    <xf numFmtId="0" fontId="19" fillId="0" borderId="0" xfId="0" applyFont="1" applyBorder="1" applyAlignment="1">
      <alignment horizontal="center" vertical="center" wrapText="1"/>
    </xf>
    <xf numFmtId="0" fontId="41" fillId="49" borderId="0" xfId="0" applyFont="1" applyFill="1" applyBorder="1" applyAlignment="1">
      <alignment horizontal="left" vertical="center" wrapText="1"/>
    </xf>
    <xf numFmtId="0" fontId="42" fillId="51" borderId="0" xfId="0" applyFont="1" applyFill="1" applyBorder="1" applyAlignment="1">
      <alignment horizontal="center" vertical="center" wrapText="1"/>
    </xf>
    <xf numFmtId="44" fontId="42" fillId="48" borderId="0" xfId="0" applyNumberFormat="1" applyFont="1" applyFill="1" applyBorder="1" applyAlignment="1">
      <alignment horizontal="center" vertical="center" wrapText="1"/>
    </xf>
    <xf numFmtId="44" fontId="19" fillId="0" borderId="0" xfId="84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 wrapText="1"/>
    </xf>
    <xf numFmtId="44" fontId="40" fillId="52" borderId="0" xfId="0" applyNumberFormat="1" applyFont="1" applyFill="1" applyBorder="1"/>
    <xf numFmtId="44" fontId="43" fillId="0" borderId="0" xfId="84" applyFont="1" applyFill="1" applyBorder="1" applyAlignment="1">
      <alignment horizontal="center" vertical="center"/>
    </xf>
    <xf numFmtId="44" fontId="43" fillId="47" borderId="0" xfId="84" applyFont="1" applyFill="1" applyBorder="1" applyAlignment="1">
      <alignment horizontal="center" vertical="center"/>
    </xf>
    <xf numFmtId="44" fontId="40" fillId="61" borderId="0" xfId="84" applyFont="1" applyFill="1" applyBorder="1" applyAlignment="1">
      <alignment horizontal="center" vertical="center"/>
    </xf>
    <xf numFmtId="44" fontId="43" fillId="0" borderId="0" xfId="162" applyFont="1" applyFill="1" applyBorder="1" applyAlignment="1">
      <alignment horizontal="center" vertical="center"/>
    </xf>
    <xf numFmtId="44" fontId="40" fillId="61" borderId="0" xfId="0" applyNumberFormat="1" applyFont="1" applyFill="1" applyBorder="1"/>
    <xf numFmtId="44" fontId="19" fillId="65" borderId="0" xfId="84" applyFont="1" applyFill="1" applyBorder="1" applyAlignment="1">
      <alignment horizontal="center" vertical="center"/>
    </xf>
    <xf numFmtId="0" fontId="43" fillId="0" borderId="0" xfId="0" applyFont="1" applyBorder="1"/>
    <xf numFmtId="44" fontId="19" fillId="47" borderId="0" xfId="84" applyFont="1" applyFill="1" applyBorder="1" applyAlignment="1">
      <alignment horizontal="center" vertical="center"/>
    </xf>
    <xf numFmtId="44" fontId="40" fillId="58" borderId="0" xfId="162" applyFont="1" applyFill="1" applyBorder="1" applyAlignment="1">
      <alignment horizontal="center" vertical="center"/>
    </xf>
    <xf numFmtId="0" fontId="40" fillId="58" borderId="0" xfId="0" applyFont="1" applyFill="1" applyBorder="1" applyAlignment="1">
      <alignment horizontal="left" vertical="center" wrapText="1"/>
    </xf>
    <xf numFmtId="0" fontId="43" fillId="0" borderId="0" xfId="0" applyFont="1" applyBorder="1" applyAlignment="1">
      <alignment horizontal="left" vertical="top"/>
    </xf>
    <xf numFmtId="43" fontId="41" fillId="49" borderId="0" xfId="167" applyFont="1" applyFill="1" applyBorder="1" applyAlignment="1">
      <alignment horizontal="center" vertical="center" wrapText="1"/>
    </xf>
    <xf numFmtId="43" fontId="19" fillId="47" borderId="0" xfId="167" applyFont="1" applyFill="1" applyBorder="1" applyAlignment="1">
      <alignment horizontal="center" vertical="center" wrapText="1"/>
    </xf>
    <xf numFmtId="43" fontId="19" fillId="0" borderId="0" xfId="167" applyFont="1" applyBorder="1" applyAlignment="1">
      <alignment horizontal="center" vertical="center"/>
    </xf>
    <xf numFmtId="43" fontId="19" fillId="0" borderId="0" xfId="167" applyFont="1" applyFill="1" applyBorder="1" applyAlignment="1">
      <alignment horizontal="center" vertical="center"/>
    </xf>
    <xf numFmtId="43" fontId="19" fillId="0" borderId="0" xfId="167" applyFont="1" applyBorder="1" applyAlignment="1">
      <alignment horizontal="center" vertical="center" wrapText="1"/>
    </xf>
    <xf numFmtId="43" fontId="41" fillId="49" borderId="0" xfId="167" applyFont="1" applyFill="1" applyBorder="1" applyAlignment="1">
      <alignment horizontal="left" vertical="center" wrapText="1"/>
    </xf>
    <xf numFmtId="43" fontId="42" fillId="51" borderId="0" xfId="167" applyFont="1" applyFill="1" applyBorder="1" applyAlignment="1">
      <alignment horizontal="center" vertical="center" wrapText="1"/>
    </xf>
    <xf numFmtId="43" fontId="42" fillId="48" borderId="0" xfId="167" applyFont="1" applyFill="1" applyBorder="1" applyAlignment="1">
      <alignment horizontal="center" vertical="center" wrapText="1"/>
    </xf>
    <xf numFmtId="43" fontId="43" fillId="0" borderId="0" xfId="167" applyFont="1" applyFill="1" applyBorder="1" applyAlignment="1">
      <alignment horizontal="center" vertical="center"/>
    </xf>
    <xf numFmtId="43" fontId="40" fillId="58" borderId="0" xfId="167" applyFont="1" applyFill="1"/>
    <xf numFmtId="43" fontId="40" fillId="58" borderId="0" xfId="167" applyFont="1" applyFill="1" applyBorder="1" applyAlignment="1">
      <alignment horizontal="center" vertical="center"/>
    </xf>
    <xf numFmtId="43" fontId="40" fillId="58" borderId="0" xfId="167" applyFont="1" applyFill="1" applyBorder="1" applyAlignment="1">
      <alignment horizontal="left" vertical="center" wrapText="1"/>
    </xf>
    <xf numFmtId="43" fontId="0" fillId="0" borderId="0" xfId="167" applyFont="1"/>
    <xf numFmtId="43" fontId="43" fillId="0" borderId="0" xfId="167" applyFont="1" applyBorder="1" applyAlignment="1">
      <alignment horizontal="left" vertical="top"/>
    </xf>
    <xf numFmtId="43" fontId="43" fillId="0" borderId="0" xfId="167" applyFont="1" applyAlignment="1">
      <alignment horizontal="left" vertical="top"/>
    </xf>
    <xf numFmtId="2" fontId="43" fillId="0" borderId="19" xfId="0" applyNumberFormat="1" applyFont="1" applyFill="1" applyBorder="1" applyAlignment="1">
      <alignment horizontal="center" vertical="center"/>
    </xf>
    <xf numFmtId="43" fontId="42" fillId="51" borderId="19" xfId="167" applyFont="1" applyFill="1" applyBorder="1" applyAlignment="1">
      <alignment horizontal="center" vertical="center"/>
    </xf>
    <xf numFmtId="43" fontId="19" fillId="47" borderId="19" xfId="167" applyFont="1" applyFill="1" applyBorder="1" applyAlignment="1">
      <alignment horizontal="center" vertical="center"/>
    </xf>
    <xf numFmtId="43" fontId="42" fillId="0" borderId="19" xfId="167" applyFont="1" applyFill="1" applyBorder="1" applyAlignment="1">
      <alignment horizontal="center" vertical="center"/>
    </xf>
    <xf numFmtId="43" fontId="43" fillId="0" borderId="19" xfId="167" applyFont="1" applyBorder="1" applyAlignment="1">
      <alignment horizontal="center" vertical="center"/>
    </xf>
    <xf numFmtId="43" fontId="43" fillId="47" borderId="19" xfId="167" applyFont="1" applyFill="1" applyBorder="1" applyAlignment="1">
      <alignment horizontal="center" vertical="center"/>
    </xf>
    <xf numFmtId="43" fontId="19" fillId="0" borderId="30" xfId="167" applyFont="1" applyFill="1" applyBorder="1" applyAlignment="1">
      <alignment horizontal="center" vertical="center"/>
    </xf>
    <xf numFmtId="43" fontId="43" fillId="0" borderId="19" xfId="167" applyFont="1" applyBorder="1"/>
    <xf numFmtId="43" fontId="43" fillId="0" borderId="19" xfId="167" applyFont="1" applyBorder="1" applyAlignment="1">
      <alignment vertical="center"/>
    </xf>
    <xf numFmtId="43" fontId="19" fillId="47" borderId="19" xfId="167" applyFont="1" applyFill="1" applyBorder="1" applyAlignment="1">
      <alignment vertical="center"/>
    </xf>
    <xf numFmtId="43" fontId="19" fillId="0" borderId="19" xfId="167" applyFont="1" applyFill="1" applyBorder="1" applyAlignment="1">
      <alignment horizontal="center" vertical="center"/>
    </xf>
    <xf numFmtId="43" fontId="43" fillId="0" borderId="19" xfId="167" applyFont="1" applyFill="1" applyBorder="1" applyAlignment="1">
      <alignment horizontal="center" vertical="center"/>
    </xf>
    <xf numFmtId="43" fontId="19" fillId="0" borderId="19" xfId="167" applyFont="1" applyBorder="1"/>
    <xf numFmtId="43" fontId="19" fillId="0" borderId="19" xfId="167" applyFont="1" applyBorder="1" applyAlignment="1">
      <alignment vertical="center"/>
    </xf>
    <xf numFmtId="43" fontId="19" fillId="0" borderId="19" xfId="167" applyFont="1" applyBorder="1" applyAlignment="1">
      <alignment horizontal="center" vertical="center"/>
    </xf>
    <xf numFmtId="43" fontId="0" fillId="0" borderId="19" xfId="167" applyFont="1" applyBorder="1"/>
    <xf numFmtId="43" fontId="19" fillId="0" borderId="19" xfId="167" applyNumberFormat="1" applyFont="1" applyFill="1" applyBorder="1" applyAlignment="1">
      <alignment horizontal="center" vertical="center"/>
    </xf>
    <xf numFmtId="43" fontId="43" fillId="0" borderId="19" xfId="167" applyNumberFormat="1" applyFont="1" applyBorder="1" applyAlignment="1">
      <alignment horizontal="center" vertical="center"/>
    </xf>
    <xf numFmtId="43" fontId="43" fillId="47" borderId="19" xfId="167" applyNumberFormat="1" applyFont="1" applyFill="1" applyBorder="1" applyAlignment="1">
      <alignment horizontal="center" vertical="center"/>
    </xf>
    <xf numFmtId="0" fontId="19" fillId="0" borderId="23" xfId="0" applyFont="1" applyFill="1" applyBorder="1" applyAlignment="1">
      <alignment vertical="center"/>
    </xf>
    <xf numFmtId="0" fontId="19" fillId="0" borderId="29" xfId="0" applyFont="1" applyFill="1" applyBorder="1" applyAlignment="1">
      <alignment vertical="center"/>
    </xf>
    <xf numFmtId="44" fontId="19" fillId="0" borderId="23" xfId="84" applyFont="1" applyFill="1" applyBorder="1" applyAlignment="1">
      <alignment horizontal="center" vertical="center"/>
    </xf>
    <xf numFmtId="0" fontId="0" fillId="0" borderId="0" xfId="0" applyFill="1"/>
    <xf numFmtId="164" fontId="62" fillId="0" borderId="0" xfId="0" applyNumberFormat="1" applyFont="1" applyFill="1"/>
    <xf numFmtId="44" fontId="43" fillId="0" borderId="23" xfId="84" applyFont="1" applyFill="1" applyBorder="1" applyAlignment="1">
      <alignment horizontal="center" vertical="center"/>
    </xf>
    <xf numFmtId="0" fontId="19" fillId="0" borderId="30" xfId="0" applyFont="1" applyFill="1" applyBorder="1" applyAlignment="1">
      <alignment vertical="center"/>
    </xf>
    <xf numFmtId="0" fontId="19" fillId="0" borderId="0" xfId="0" applyFont="1" applyFill="1" applyBorder="1" applyAlignment="1">
      <alignment vertical="center" wrapText="1"/>
    </xf>
    <xf numFmtId="2" fontId="19" fillId="0" borderId="22" xfId="0" applyNumberFormat="1" applyFont="1" applyFill="1" applyBorder="1" applyAlignment="1">
      <alignment horizontal="center" vertical="center"/>
    </xf>
    <xf numFmtId="43" fontId="0" fillId="0" borderId="0" xfId="0" applyNumberFormat="1" applyFill="1"/>
    <xf numFmtId="43" fontId="19" fillId="0" borderId="19" xfId="0" applyNumberFormat="1" applyFont="1" applyFill="1" applyBorder="1" applyAlignment="1">
      <alignment horizontal="center" vertical="center" wrapText="1"/>
    </xf>
    <xf numFmtId="44" fontId="43" fillId="0" borderId="23" xfId="162" applyFont="1" applyFill="1" applyBorder="1" applyAlignment="1">
      <alignment horizontal="center" vertical="center"/>
    </xf>
    <xf numFmtId="44" fontId="0" fillId="0" borderId="0" xfId="0" applyNumberFormat="1" applyFill="1"/>
    <xf numFmtId="0" fontId="19" fillId="0" borderId="19" xfId="0" applyFont="1" applyFill="1" applyBorder="1" applyAlignment="1">
      <alignment horizontal="justify" vertical="justify" wrapText="1"/>
    </xf>
    <xf numFmtId="0" fontId="43" fillId="0" borderId="21" xfId="0" applyFont="1" applyFill="1" applyBorder="1" applyAlignment="1">
      <alignment horizontal="center" vertical="center"/>
    </xf>
    <xf numFmtId="0" fontId="43" fillId="0" borderId="29" xfId="0" applyFont="1" applyFill="1" applyBorder="1" applyAlignment="1">
      <alignment horizontal="center" vertical="center"/>
    </xf>
    <xf numFmtId="182" fontId="0" fillId="0" borderId="0" xfId="0" applyNumberFormat="1" applyFill="1"/>
    <xf numFmtId="2" fontId="0" fillId="0" borderId="0" xfId="0" applyNumberFormat="1" applyFill="1"/>
    <xf numFmtId="0" fontId="19" fillId="0" borderId="19" xfId="0" applyFont="1" applyFill="1" applyBorder="1" applyAlignment="1">
      <alignment horizontal="justify" vertical="justify"/>
    </xf>
    <xf numFmtId="49" fontId="43" fillId="0" borderId="23" xfId="0" applyNumberFormat="1" applyFont="1" applyFill="1" applyBorder="1" applyAlignment="1">
      <alignment horizontal="center" vertical="center"/>
    </xf>
    <xf numFmtId="49" fontId="19" fillId="0" borderId="19" xfId="0" applyNumberFormat="1" applyFont="1" applyFill="1" applyBorder="1" applyAlignment="1">
      <alignment horizontal="justify" vertical="justify" wrapText="1"/>
    </xf>
    <xf numFmtId="0" fontId="19" fillId="0" borderId="19" xfId="90" applyFont="1" applyFill="1" applyBorder="1" applyAlignment="1">
      <alignment horizontal="left" vertical="center" wrapText="1"/>
    </xf>
    <xf numFmtId="183" fontId="42" fillId="51" borderId="19" xfId="0" applyNumberFormat="1" applyFont="1" applyFill="1" applyBorder="1" applyAlignment="1">
      <alignment horizontal="center" vertical="center"/>
    </xf>
    <xf numFmtId="183" fontId="19" fillId="0" borderId="19" xfId="0" applyNumberFormat="1" applyFont="1" applyFill="1" applyBorder="1" applyAlignment="1">
      <alignment horizontal="center" vertical="center"/>
    </xf>
    <xf numFmtId="183" fontId="43" fillId="0" borderId="19" xfId="0" applyNumberFormat="1" applyFont="1" applyFill="1" applyBorder="1" applyAlignment="1">
      <alignment vertical="center"/>
    </xf>
    <xf numFmtId="183" fontId="19" fillId="0" borderId="19" xfId="0" applyNumberFormat="1" applyFont="1" applyFill="1" applyBorder="1" applyAlignment="1">
      <alignment vertical="center"/>
    </xf>
    <xf numFmtId="183" fontId="19" fillId="0" borderId="30" xfId="0" applyNumberFormat="1" applyFont="1" applyFill="1" applyBorder="1" applyAlignment="1">
      <alignment vertical="center"/>
    </xf>
    <xf numFmtId="183" fontId="43" fillId="0" borderId="19" xfId="0" applyNumberFormat="1" applyFont="1" applyFill="1" applyBorder="1" applyAlignment="1">
      <alignment horizontal="center" vertical="center"/>
    </xf>
    <xf numFmtId="183" fontId="19" fillId="0" borderId="0" xfId="0" applyNumberFormat="1" applyFont="1" applyFill="1" applyBorder="1" applyAlignment="1">
      <alignment horizontal="center" vertical="center"/>
    </xf>
    <xf numFmtId="183" fontId="45" fillId="0" borderId="19" xfId="0" applyNumberFormat="1" applyFont="1" applyFill="1" applyBorder="1" applyAlignment="1">
      <alignment horizontal="center" vertical="center"/>
    </xf>
    <xf numFmtId="183" fontId="0" fillId="0" borderId="19" xfId="0" applyNumberFormat="1" applyBorder="1"/>
    <xf numFmtId="183" fontId="0" fillId="0" borderId="0" xfId="0" applyNumberFormat="1"/>
    <xf numFmtId="183" fontId="19" fillId="66" borderId="19" xfId="0" applyNumberFormat="1" applyFont="1" applyFill="1" applyBorder="1" applyAlignment="1">
      <alignment horizontal="center" vertical="center"/>
    </xf>
    <xf numFmtId="183" fontId="43" fillId="66" borderId="19" xfId="0" applyNumberFormat="1" applyFont="1" applyFill="1" applyBorder="1" applyAlignment="1">
      <alignment horizontal="center" vertical="center"/>
    </xf>
    <xf numFmtId="183" fontId="19" fillId="67" borderId="19" xfId="0" applyNumberFormat="1" applyFont="1" applyFill="1" applyBorder="1" applyAlignment="1">
      <alignment horizontal="center" vertical="center"/>
    </xf>
    <xf numFmtId="183" fontId="43" fillId="67" borderId="19" xfId="0" applyNumberFormat="1" applyFont="1" applyFill="1" applyBorder="1" applyAlignment="1">
      <alignment horizontal="center" vertical="center"/>
    </xf>
    <xf numFmtId="0" fontId="19" fillId="68" borderId="19" xfId="0" applyFont="1" applyFill="1" applyBorder="1" applyAlignment="1">
      <alignment horizontal="center" vertical="center"/>
    </xf>
    <xf numFmtId="0" fontId="19" fillId="68" borderId="23" xfId="0" applyFont="1" applyFill="1" applyBorder="1" applyAlignment="1">
      <alignment horizontal="center" vertical="center"/>
    </xf>
    <xf numFmtId="183" fontId="43" fillId="68" borderId="19" xfId="0" applyNumberFormat="1" applyFont="1" applyFill="1" applyBorder="1" applyAlignment="1">
      <alignment vertical="center"/>
    </xf>
    <xf numFmtId="183" fontId="43" fillId="68" borderId="19" xfId="0" applyNumberFormat="1" applyFont="1" applyFill="1" applyBorder="1" applyAlignment="1">
      <alignment horizontal="center" vertical="center"/>
    </xf>
    <xf numFmtId="183" fontId="19" fillId="68" borderId="19" xfId="0" applyNumberFormat="1" applyFont="1" applyFill="1" applyBorder="1" applyAlignment="1">
      <alignment vertical="center"/>
    </xf>
    <xf numFmtId="0" fontId="43" fillId="69" borderId="19" xfId="0" applyFont="1" applyFill="1" applyBorder="1" applyAlignment="1">
      <alignment horizontal="center" vertical="center"/>
    </xf>
    <xf numFmtId="0" fontId="43" fillId="69" borderId="23" xfId="0" applyFont="1" applyFill="1" applyBorder="1" applyAlignment="1">
      <alignment horizontal="center" vertical="center"/>
    </xf>
    <xf numFmtId="49" fontId="19" fillId="69" borderId="19" xfId="0" applyNumberFormat="1" applyFont="1" applyFill="1" applyBorder="1" applyAlignment="1">
      <alignment horizontal="center" vertical="center"/>
    </xf>
    <xf numFmtId="0" fontId="19" fillId="69" borderId="19" xfId="0" applyFont="1" applyFill="1" applyBorder="1" applyAlignment="1">
      <alignment horizontal="center" vertical="center"/>
    </xf>
    <xf numFmtId="183" fontId="43" fillId="69" borderId="19" xfId="0" applyNumberFormat="1" applyFont="1" applyFill="1" applyBorder="1" applyAlignment="1">
      <alignment vertical="center"/>
    </xf>
    <xf numFmtId="183" fontId="43" fillId="69" borderId="19" xfId="0" applyNumberFormat="1" applyFont="1" applyFill="1" applyBorder="1" applyAlignment="1">
      <alignment horizontal="center" vertical="center"/>
    </xf>
    <xf numFmtId="183" fontId="19" fillId="69" borderId="19" xfId="0" applyNumberFormat="1" applyFont="1" applyFill="1" applyBorder="1" applyAlignment="1">
      <alignment horizontal="center" vertical="center"/>
    </xf>
    <xf numFmtId="183" fontId="19" fillId="69" borderId="19" xfId="0" applyNumberFormat="1" applyFont="1" applyFill="1" applyBorder="1" applyAlignment="1">
      <alignment vertical="center"/>
    </xf>
    <xf numFmtId="49" fontId="19" fillId="69" borderId="23" xfId="0" applyNumberFormat="1" applyFont="1" applyFill="1" applyBorder="1" applyAlignment="1">
      <alignment horizontal="center" vertical="center"/>
    </xf>
    <xf numFmtId="49" fontId="43" fillId="69" borderId="19" xfId="0" applyNumberFormat="1" applyFont="1" applyFill="1" applyBorder="1" applyAlignment="1">
      <alignment horizontal="center" vertical="center"/>
    </xf>
    <xf numFmtId="0" fontId="43" fillId="70" borderId="19" xfId="0" applyFont="1" applyFill="1" applyBorder="1" applyAlignment="1">
      <alignment horizontal="center" vertical="center"/>
    </xf>
    <xf numFmtId="183" fontId="19" fillId="70" borderId="19" xfId="0" applyNumberFormat="1" applyFont="1" applyFill="1" applyBorder="1" applyAlignment="1">
      <alignment horizontal="center" vertical="center"/>
    </xf>
    <xf numFmtId="183" fontId="43" fillId="70" borderId="19" xfId="0" applyNumberFormat="1" applyFont="1" applyFill="1" applyBorder="1" applyAlignment="1">
      <alignment horizontal="center" vertical="center"/>
    </xf>
    <xf numFmtId="44" fontId="43" fillId="0" borderId="0" xfId="84" applyNumberFormat="1" applyFont="1" applyFill="1" applyBorder="1" applyAlignment="1">
      <alignment horizontal="center" vertical="center"/>
    </xf>
    <xf numFmtId="184" fontId="0" fillId="0" borderId="0" xfId="0" applyNumberFormat="1" applyFill="1"/>
    <xf numFmtId="0" fontId="43" fillId="47" borderId="19" xfId="0" applyFont="1" applyFill="1" applyBorder="1" applyAlignment="1">
      <alignment vertical="center" wrapText="1"/>
    </xf>
    <xf numFmtId="0" fontId="43" fillId="0" borderId="30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0" fontId="43" fillId="0" borderId="0" xfId="0" applyFont="1" applyBorder="1" applyAlignment="1">
      <alignment wrapText="1"/>
    </xf>
    <xf numFmtId="43" fontId="43" fillId="0" borderId="30" xfId="0" applyNumberFormat="1" applyFont="1" applyBorder="1" applyAlignment="1">
      <alignment horizontal="center" vertical="center"/>
    </xf>
    <xf numFmtId="0" fontId="43" fillId="0" borderId="22" xfId="0" applyFont="1" applyBorder="1" applyAlignment="1">
      <alignment horizontal="center" vertical="center"/>
    </xf>
    <xf numFmtId="10" fontId="38" fillId="0" borderId="19" xfId="170" applyNumberFormat="1" applyFont="1" applyBorder="1" applyAlignment="1">
      <alignment horizontal="center" vertical="center"/>
    </xf>
    <xf numFmtId="10" fontId="38" fillId="0" borderId="19" xfId="0" applyNumberFormat="1" applyFont="1" applyBorder="1" applyAlignment="1">
      <alignment horizontal="center" vertical="center"/>
    </xf>
    <xf numFmtId="0" fontId="72" fillId="0" borderId="19" xfId="0" applyFont="1" applyBorder="1" applyAlignment="1">
      <alignment horizontal="center" vertical="center"/>
    </xf>
    <xf numFmtId="0" fontId="19" fillId="0" borderId="29" xfId="0" applyFont="1" applyFill="1" applyBorder="1" applyAlignment="1">
      <alignment horizontal="center" vertical="center"/>
    </xf>
    <xf numFmtId="0" fontId="17" fillId="47" borderId="24" xfId="0" applyFont="1" applyFill="1" applyBorder="1" applyAlignment="1">
      <alignment horizontal="center" vertical="center"/>
    </xf>
    <xf numFmtId="0" fontId="19" fillId="0" borderId="22" xfId="162" applyNumberFormat="1" applyFont="1" applyFill="1" applyBorder="1" applyAlignment="1">
      <alignment horizontal="center" vertical="center"/>
    </xf>
    <xf numFmtId="2" fontId="19" fillId="47" borderId="19" xfId="0" applyNumberFormat="1" applyFont="1" applyFill="1" applyBorder="1" applyAlignment="1">
      <alignment horizontal="center" vertical="center" wrapText="1"/>
    </xf>
    <xf numFmtId="0" fontId="16" fillId="53" borderId="53" xfId="44" applyFont="1" applyFill="1" applyBorder="1" applyAlignment="1">
      <alignment horizontal="center" vertical="center"/>
    </xf>
    <xf numFmtId="0" fontId="16" fillId="53" borderId="19" xfId="44" applyFont="1" applyFill="1" applyBorder="1" applyAlignment="1">
      <alignment horizontal="center" vertical="center"/>
    </xf>
    <xf numFmtId="0" fontId="16" fillId="53" borderId="19" xfId="44" applyFont="1" applyFill="1" applyBorder="1" applyAlignment="1">
      <alignment horizontal="center" vertical="center" wrapText="1"/>
    </xf>
    <xf numFmtId="0" fontId="16" fillId="53" borderId="34" xfId="44" applyFont="1" applyFill="1" applyBorder="1" applyAlignment="1">
      <alignment horizontal="center" vertical="center" wrapText="1"/>
    </xf>
    <xf numFmtId="0" fontId="16" fillId="0" borderId="53" xfId="44" applyFont="1" applyFill="1" applyBorder="1" applyAlignment="1">
      <alignment horizontal="center" vertical="center"/>
    </xf>
    <xf numFmtId="0" fontId="16" fillId="0" borderId="19" xfId="44" applyFont="1" applyFill="1" applyBorder="1" applyAlignment="1">
      <alignment horizontal="center" vertical="center"/>
    </xf>
    <xf numFmtId="0" fontId="16" fillId="0" borderId="23" xfId="44" applyFont="1" applyFill="1" applyBorder="1" applyAlignment="1">
      <alignment horizontal="center" vertical="center"/>
    </xf>
    <xf numFmtId="0" fontId="16" fillId="0" borderId="29" xfId="44" applyFont="1" applyFill="1" applyBorder="1" applyAlignment="1">
      <alignment horizontal="center" vertical="center"/>
    </xf>
    <xf numFmtId="2" fontId="16" fillId="0" borderId="19" xfId="44" applyNumberFormat="1" applyFont="1" applyFill="1" applyBorder="1" applyAlignment="1">
      <alignment horizontal="center" vertical="center" wrapText="1"/>
    </xf>
    <xf numFmtId="0" fontId="16" fillId="0" borderId="19" xfId="44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0" fontId="16" fillId="0" borderId="23" xfId="0" applyNumberFormat="1" applyFont="1" applyFill="1" applyBorder="1" applyAlignment="1">
      <alignment horizontal="center" vertical="center" wrapText="1"/>
    </xf>
    <xf numFmtId="0" fontId="65" fillId="0" borderId="29" xfId="0" applyFont="1" applyFill="1" applyBorder="1" applyAlignment="1">
      <alignment horizontal="center" vertical="center"/>
    </xf>
    <xf numFmtId="0" fontId="16" fillId="0" borderId="19" xfId="98" applyFont="1" applyFill="1" applyBorder="1" applyAlignment="1">
      <alignment horizontal="center" vertical="center"/>
    </xf>
    <xf numFmtId="185" fontId="16" fillId="0" borderId="23" xfId="98" applyNumberFormat="1" applyFont="1" applyFill="1" applyBorder="1" applyAlignment="1">
      <alignment horizontal="center" vertical="center" wrapText="1"/>
    </xf>
    <xf numFmtId="43" fontId="16" fillId="0" borderId="29" xfId="153" applyFont="1" applyFill="1" applyBorder="1" applyAlignment="1">
      <alignment horizontal="center" vertical="center" wrapText="1"/>
    </xf>
    <xf numFmtId="2" fontId="16" fillId="0" borderId="19" xfId="153" applyNumberFormat="1" applyFont="1" applyFill="1" applyBorder="1" applyAlignment="1">
      <alignment horizontal="center" vertical="center" wrapText="1"/>
    </xf>
    <xf numFmtId="2" fontId="66" fillId="0" borderId="51" xfId="44" applyNumberFormat="1" applyFont="1" applyFill="1" applyBorder="1" applyAlignment="1">
      <alignment horizontal="center"/>
    </xf>
    <xf numFmtId="0" fontId="16" fillId="53" borderId="29" xfId="44" applyFont="1" applyFill="1" applyBorder="1" applyAlignment="1">
      <alignment horizontal="center" vertical="center"/>
    </xf>
    <xf numFmtId="2" fontId="16" fillId="0" borderId="34" xfId="0" applyNumberFormat="1" applyFont="1" applyBorder="1" applyAlignment="1">
      <alignment horizontal="center" vertical="center"/>
    </xf>
    <xf numFmtId="0" fontId="19" fillId="53" borderId="53" xfId="44" applyFont="1" applyFill="1" applyBorder="1" applyAlignment="1">
      <alignment horizontal="center" vertical="center"/>
    </xf>
    <xf numFmtId="0" fontId="19" fillId="53" borderId="19" xfId="44" applyFont="1" applyFill="1" applyBorder="1" applyAlignment="1">
      <alignment horizontal="center" vertical="center"/>
    </xf>
    <xf numFmtId="0" fontId="19" fillId="53" borderId="29" xfId="44" applyFont="1" applyFill="1" applyBorder="1" applyAlignment="1">
      <alignment horizontal="center" vertical="center"/>
    </xf>
    <xf numFmtId="0" fontId="19" fillId="53" borderId="19" xfId="44" applyFont="1" applyFill="1" applyBorder="1" applyAlignment="1">
      <alignment horizontal="center" vertical="center" wrapText="1"/>
    </xf>
    <xf numFmtId="0" fontId="19" fillId="53" borderId="34" xfId="44" applyFont="1" applyFill="1" applyBorder="1" applyAlignment="1">
      <alignment horizontal="center" vertical="center" wrapText="1"/>
    </xf>
    <xf numFmtId="0" fontId="19" fillId="0" borderId="53" xfId="44" applyFont="1" applyFill="1" applyBorder="1" applyAlignment="1">
      <alignment horizontal="center" vertical="center"/>
    </xf>
    <xf numFmtId="0" fontId="19" fillId="0" borderId="19" xfId="44" applyFont="1" applyFill="1" applyBorder="1" applyAlignment="1">
      <alignment horizontal="center" vertical="center"/>
    </xf>
    <xf numFmtId="0" fontId="19" fillId="0" borderId="23" xfId="44" applyFont="1" applyFill="1" applyBorder="1" applyAlignment="1">
      <alignment horizontal="center" vertical="center"/>
    </xf>
    <xf numFmtId="0" fontId="19" fillId="0" borderId="29" xfId="44" applyFont="1" applyFill="1" applyBorder="1" applyAlignment="1">
      <alignment horizontal="center" vertical="center"/>
    </xf>
    <xf numFmtId="165" fontId="19" fillId="0" borderId="19" xfId="44" applyNumberFormat="1" applyFont="1" applyFill="1" applyBorder="1" applyAlignment="1">
      <alignment horizontal="center" vertical="center" wrapText="1"/>
    </xf>
    <xf numFmtId="0" fontId="19" fillId="0" borderId="19" xfId="44" applyFont="1" applyFill="1" applyBorder="1" applyAlignment="1">
      <alignment horizontal="center" vertical="center" wrapText="1"/>
    </xf>
    <xf numFmtId="2" fontId="19" fillId="0" borderId="34" xfId="0" applyNumberFormat="1" applyFont="1" applyBorder="1" applyAlignment="1">
      <alignment horizontal="center" vertical="center"/>
    </xf>
    <xf numFmtId="0" fontId="19" fillId="0" borderId="23" xfId="0" applyNumberFormat="1" applyFont="1" applyFill="1" applyBorder="1" applyAlignment="1">
      <alignment horizontal="center" vertical="center" wrapText="1"/>
    </xf>
    <xf numFmtId="0" fontId="44" fillId="0" borderId="29" xfId="0" applyFont="1" applyFill="1" applyBorder="1" applyAlignment="1">
      <alignment horizontal="center" vertical="center"/>
    </xf>
    <xf numFmtId="2" fontId="19" fillId="0" borderId="19" xfId="44" applyNumberFormat="1" applyFont="1" applyFill="1" applyBorder="1" applyAlignment="1">
      <alignment horizontal="center" vertical="center" wrapText="1"/>
    </xf>
    <xf numFmtId="0" fontId="19" fillId="0" borderId="19" xfId="98" applyFont="1" applyFill="1" applyBorder="1" applyAlignment="1">
      <alignment horizontal="center" vertical="center"/>
    </xf>
    <xf numFmtId="185" fontId="19" fillId="0" borderId="23" xfId="98" applyNumberFormat="1" applyFont="1" applyFill="1" applyBorder="1" applyAlignment="1">
      <alignment horizontal="center" vertical="center" wrapText="1"/>
    </xf>
    <xf numFmtId="43" fontId="19" fillId="0" borderId="29" xfId="153" applyFont="1" applyFill="1" applyBorder="1" applyAlignment="1">
      <alignment horizontal="center" vertical="center" wrapText="1"/>
    </xf>
    <xf numFmtId="0" fontId="45" fillId="0" borderId="19" xfId="0" applyFont="1" applyBorder="1" applyAlignment="1">
      <alignment horizontal="center" vertical="center"/>
    </xf>
    <xf numFmtId="2" fontId="45" fillId="0" borderId="51" xfId="0" applyNumberFormat="1" applyFont="1" applyBorder="1" applyAlignment="1">
      <alignment horizontal="center"/>
    </xf>
    <xf numFmtId="0" fontId="19" fillId="53" borderId="92" xfId="44" applyFont="1" applyFill="1" applyBorder="1" applyAlignment="1">
      <alignment horizontal="center" vertical="center"/>
    </xf>
    <xf numFmtId="0" fontId="19" fillId="53" borderId="30" xfId="44" applyFont="1" applyFill="1" applyBorder="1" applyAlignment="1">
      <alignment horizontal="center" vertical="center"/>
    </xf>
    <xf numFmtId="0" fontId="19" fillId="53" borderId="30" xfId="44" applyFont="1" applyFill="1" applyBorder="1" applyAlignment="1">
      <alignment horizontal="center" vertical="center" wrapText="1"/>
    </xf>
    <xf numFmtId="43" fontId="19" fillId="0" borderId="19" xfId="146" applyFont="1" applyFill="1" applyBorder="1" applyAlignment="1">
      <alignment vertical="center"/>
    </xf>
    <xf numFmtId="0" fontId="43" fillId="0" borderId="0" xfId="0" applyFont="1" applyAlignment="1">
      <alignment horizontal="center" vertical="center"/>
    </xf>
    <xf numFmtId="181" fontId="19" fillId="0" borderId="34" xfId="44" applyNumberFormat="1" applyFont="1" applyFill="1" applyBorder="1" applyAlignment="1">
      <alignment horizontal="center" vertical="center" wrapText="1"/>
    </xf>
    <xf numFmtId="43" fontId="76" fillId="0" borderId="51" xfId="44" applyNumberFormat="1" applyFont="1" applyFill="1" applyBorder="1"/>
    <xf numFmtId="0" fontId="77" fillId="47" borderId="19" xfId="0" applyNumberFormat="1" applyFont="1" applyFill="1" applyBorder="1" applyAlignment="1">
      <alignment horizontal="center" vertical="center" wrapText="1"/>
    </xf>
    <xf numFmtId="0" fontId="77" fillId="47" borderId="19" xfId="0" applyFont="1" applyFill="1" applyBorder="1" applyAlignment="1">
      <alignment horizontal="center" vertical="center" wrapText="1"/>
    </xf>
    <xf numFmtId="4" fontId="77" fillId="47" borderId="19" xfId="0" applyNumberFormat="1" applyFont="1" applyFill="1" applyBorder="1" applyAlignment="1">
      <alignment horizontal="center" vertical="center" wrapText="1"/>
    </xf>
    <xf numFmtId="43" fontId="43" fillId="0" borderId="19" xfId="167" applyNumberFormat="1" applyFont="1" applyFill="1" applyBorder="1" applyAlignment="1">
      <alignment horizontal="center" vertical="center"/>
    </xf>
    <xf numFmtId="2" fontId="71" fillId="0" borderId="19" xfId="0" applyNumberFormat="1" applyFont="1" applyBorder="1" applyAlignment="1">
      <alignment vertical="center"/>
    </xf>
    <xf numFmtId="0" fontId="56" fillId="0" borderId="26" xfId="44" applyFont="1" applyFill="1" applyBorder="1" applyAlignment="1">
      <alignment horizontal="center" vertical="center"/>
    </xf>
    <xf numFmtId="0" fontId="56" fillId="0" borderId="30" xfId="44" applyFont="1" applyFill="1" applyBorder="1" applyAlignment="1">
      <alignment horizontal="center" vertical="center"/>
    </xf>
    <xf numFmtId="0" fontId="56" fillId="0" borderId="30" xfId="44" applyFont="1" applyFill="1" applyBorder="1" applyAlignment="1">
      <alignment horizontal="center" vertical="center" wrapText="1"/>
    </xf>
    <xf numFmtId="0" fontId="56" fillId="0" borderId="19" xfId="44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/>
    </xf>
    <xf numFmtId="0" fontId="45" fillId="0" borderId="132" xfId="173" applyFont="1" applyBorder="1" applyAlignment="1">
      <alignment horizontal="center" wrapText="1"/>
    </xf>
    <xf numFmtId="0" fontId="45" fillId="0" borderId="133" xfId="173" applyFont="1" applyBorder="1" applyAlignment="1">
      <alignment horizontal="center" wrapText="1"/>
    </xf>
    <xf numFmtId="0" fontId="45" fillId="0" borderId="134" xfId="173" applyFont="1" applyBorder="1" applyAlignment="1">
      <alignment horizontal="center" wrapText="1"/>
    </xf>
    <xf numFmtId="0" fontId="52" fillId="61" borderId="138" xfId="173" applyFont="1" applyFill="1" applyBorder="1" applyAlignment="1">
      <alignment horizontal="center"/>
    </xf>
    <xf numFmtId="10" fontId="78" fillId="61" borderId="56" xfId="150" applyNumberFormat="1" applyFont="1" applyFill="1" applyBorder="1" applyAlignment="1" applyProtection="1">
      <alignment horizontal="center" vertical="center"/>
      <protection locked="0"/>
    </xf>
    <xf numFmtId="10" fontId="78" fillId="61" borderId="139" xfId="150" applyNumberFormat="1" applyFont="1" applyFill="1" applyBorder="1" applyAlignment="1" applyProtection="1">
      <alignment horizontal="center" vertical="center"/>
      <protection locked="0"/>
    </xf>
    <xf numFmtId="0" fontId="78" fillId="0" borderId="140" xfId="175" applyFont="1" applyBorder="1" applyAlignment="1">
      <alignment horizontal="left" vertical="center" wrapText="1" indent="1"/>
    </xf>
    <xf numFmtId="10" fontId="79" fillId="0" borderId="19" xfId="176" applyNumberFormat="1" applyFont="1" applyFill="1" applyBorder="1" applyAlignment="1" applyProtection="1">
      <alignment horizontal="center" vertical="center"/>
      <protection locked="0"/>
    </xf>
    <xf numFmtId="10" fontId="79" fillId="0" borderId="141" xfId="176" applyNumberFormat="1" applyFont="1" applyFill="1" applyBorder="1" applyAlignment="1" applyProtection="1">
      <alignment horizontal="center" vertical="center"/>
      <protection locked="0"/>
    </xf>
    <xf numFmtId="0" fontId="78" fillId="0" borderId="140" xfId="175" applyFont="1" applyBorder="1" applyAlignment="1">
      <alignment horizontal="left" vertical="center" indent="1"/>
    </xf>
    <xf numFmtId="0" fontId="41" fillId="47" borderId="142" xfId="173" applyFont="1" applyFill="1" applyBorder="1"/>
    <xf numFmtId="0" fontId="46" fillId="47" borderId="0" xfId="173" applyFont="1" applyFill="1"/>
    <xf numFmtId="10" fontId="46" fillId="47" borderId="0" xfId="176" applyNumberFormat="1" applyFont="1" applyFill="1" applyBorder="1" applyAlignment="1">
      <alignment horizontal="right"/>
    </xf>
    <xf numFmtId="0" fontId="46" fillId="47" borderId="142" xfId="173" applyFont="1" applyFill="1" applyBorder="1"/>
    <xf numFmtId="0" fontId="46" fillId="47" borderId="0" xfId="173" applyFont="1" applyFill="1" applyAlignment="1">
      <alignment horizontal="right"/>
    </xf>
    <xf numFmtId="10" fontId="46" fillId="47" borderId="0" xfId="176" applyNumberFormat="1" applyFont="1" applyFill="1" applyBorder="1"/>
    <xf numFmtId="10" fontId="46" fillId="47" borderId="28" xfId="176" applyNumberFormat="1" applyFont="1" applyFill="1" applyBorder="1"/>
    <xf numFmtId="0" fontId="46" fillId="47" borderId="144" xfId="173" applyFont="1" applyFill="1" applyBorder="1"/>
    <xf numFmtId="0" fontId="46" fillId="47" borderId="28" xfId="173" applyFont="1" applyFill="1" applyBorder="1" applyAlignment="1">
      <alignment horizontal="right"/>
    </xf>
    <xf numFmtId="10" fontId="52" fillId="47" borderId="28" xfId="176" applyNumberFormat="1" applyFont="1" applyFill="1" applyBorder="1"/>
    <xf numFmtId="0" fontId="41" fillId="47" borderId="146" xfId="173" applyFont="1" applyFill="1" applyBorder="1"/>
    <xf numFmtId="0" fontId="46" fillId="47" borderId="25" xfId="173" applyFont="1" applyFill="1" applyBorder="1"/>
    <xf numFmtId="10" fontId="46" fillId="47" borderId="25" xfId="176" applyNumberFormat="1" applyFont="1" applyFill="1" applyBorder="1" applyAlignment="1">
      <alignment horizontal="right"/>
    </xf>
    <xf numFmtId="10" fontId="52" fillId="47" borderId="0" xfId="176" applyNumberFormat="1" applyFont="1" applyFill="1" applyBorder="1"/>
    <xf numFmtId="0" fontId="45" fillId="0" borderId="0" xfId="173" applyFont="1"/>
    <xf numFmtId="10" fontId="80" fillId="47" borderId="0" xfId="176" applyNumberFormat="1" applyFont="1" applyFill="1" applyBorder="1"/>
    <xf numFmtId="0" fontId="52" fillId="47" borderId="142" xfId="173" applyFont="1" applyFill="1" applyBorder="1" applyAlignment="1">
      <alignment horizontal="right"/>
    </xf>
    <xf numFmtId="0" fontId="80" fillId="47" borderId="0" xfId="173" applyFont="1" applyFill="1"/>
    <xf numFmtId="10" fontId="46" fillId="47" borderId="0" xfId="176" applyNumberFormat="1" applyFont="1" applyFill="1" applyBorder="1" applyAlignment="1"/>
    <xf numFmtId="187" fontId="46" fillId="47" borderId="0" xfId="177" applyNumberFormat="1" applyFont="1" applyFill="1" applyBorder="1" applyAlignment="1">
      <alignment horizontal="left"/>
    </xf>
    <xf numFmtId="10" fontId="45" fillId="0" borderId="0" xfId="176" applyNumberFormat="1" applyFont="1"/>
    <xf numFmtId="10" fontId="52" fillId="47" borderId="143" xfId="176" applyNumberFormat="1" applyFont="1" applyFill="1" applyBorder="1" applyAlignment="1">
      <alignment horizontal="center"/>
    </xf>
    <xf numFmtId="10" fontId="46" fillId="47" borderId="143" xfId="176" applyNumberFormat="1" applyFont="1" applyFill="1" applyBorder="1" applyAlignment="1">
      <alignment horizontal="center"/>
    </xf>
    <xf numFmtId="10" fontId="46" fillId="47" borderId="145" xfId="176" applyNumberFormat="1" applyFont="1" applyFill="1" applyBorder="1" applyAlignment="1">
      <alignment horizontal="center"/>
    </xf>
    <xf numFmtId="10" fontId="52" fillId="47" borderId="147" xfId="176" applyNumberFormat="1" applyFont="1" applyFill="1" applyBorder="1" applyAlignment="1">
      <alignment horizontal="center"/>
    </xf>
    <xf numFmtId="0" fontId="81" fillId="0" borderId="54" xfId="168" applyFont="1" applyFill="1" applyBorder="1" applyAlignment="1">
      <alignment horizontal="center"/>
    </xf>
    <xf numFmtId="0" fontId="81" fillId="0" borderId="103" xfId="168" applyFont="1" applyFill="1" applyBorder="1" applyAlignment="1">
      <alignment horizontal="center"/>
    </xf>
    <xf numFmtId="177" fontId="81" fillId="0" borderId="102" xfId="168" applyNumberFormat="1" applyFont="1" applyFill="1" applyBorder="1" applyAlignment="1">
      <alignment horizontal="center" vertical="top"/>
    </xf>
    <xf numFmtId="177" fontId="82" fillId="0" borderId="102" xfId="168" applyNumberFormat="1" applyFont="1" applyFill="1" applyBorder="1" applyAlignment="1">
      <alignment horizontal="center" vertical="top"/>
    </xf>
    <xf numFmtId="4" fontId="81" fillId="0" borderId="102" xfId="168" applyNumberFormat="1" applyFont="1" applyFill="1" applyBorder="1" applyAlignment="1">
      <alignment horizontal="center" vertical="top"/>
    </xf>
    <xf numFmtId="4" fontId="81" fillId="58" borderId="104" xfId="168" applyNumberFormat="1" applyFont="1" applyFill="1" applyBorder="1" applyAlignment="1">
      <alignment horizontal="center" vertical="top"/>
    </xf>
    <xf numFmtId="4" fontId="82" fillId="0" borderId="104" xfId="168" applyNumberFormat="1" applyFont="1" applyFill="1" applyBorder="1" applyAlignment="1">
      <alignment horizontal="center" vertical="top"/>
    </xf>
    <xf numFmtId="10" fontId="81" fillId="0" borderId="105" xfId="168" applyNumberFormat="1" applyFont="1" applyFill="1" applyBorder="1" applyAlignment="1">
      <alignment horizontal="center" vertical="top"/>
    </xf>
    <xf numFmtId="10" fontId="82" fillId="0" borderId="105" xfId="168" applyNumberFormat="1" applyFont="1" applyFill="1" applyBorder="1" applyAlignment="1">
      <alignment horizontal="center" vertical="top"/>
    </xf>
    <xf numFmtId="10" fontId="82" fillId="0" borderId="103" xfId="168" applyNumberFormat="1" applyFont="1" applyFill="1" applyBorder="1" applyAlignment="1">
      <alignment horizontal="center" vertical="top"/>
    </xf>
    <xf numFmtId="4" fontId="82" fillId="0" borderId="102" xfId="168" applyNumberFormat="1" applyFont="1" applyFill="1" applyBorder="1" applyAlignment="1">
      <alignment horizontal="center" vertical="top"/>
    </xf>
    <xf numFmtId="0" fontId="81" fillId="0" borderId="41" xfId="168" applyFont="1" applyFill="1" applyBorder="1" applyAlignment="1">
      <alignment vertical="center"/>
    </xf>
    <xf numFmtId="177" fontId="81" fillId="0" borderId="102" xfId="168" applyNumberFormat="1" applyFont="1" applyFill="1" applyBorder="1" applyAlignment="1">
      <alignment horizontal="center" vertical="center" wrapText="1"/>
    </xf>
    <xf numFmtId="10" fontId="81" fillId="0" borderId="101" xfId="168" applyNumberFormat="1" applyFont="1" applyFill="1" applyBorder="1" applyAlignment="1">
      <alignment horizontal="center" vertical="center"/>
    </xf>
    <xf numFmtId="0" fontId="81" fillId="0" borderId="40" xfId="168" applyFont="1" applyFill="1" applyBorder="1" applyAlignment="1">
      <alignment vertical="center"/>
    </xf>
    <xf numFmtId="178" fontId="81" fillId="0" borderId="40" xfId="168" applyNumberFormat="1" applyFont="1" applyFill="1" applyBorder="1" applyAlignment="1">
      <alignment horizontal="center" vertical="center"/>
    </xf>
    <xf numFmtId="10" fontId="81" fillId="0" borderId="40" xfId="168" applyNumberFormat="1" applyFont="1" applyFill="1" applyBorder="1" applyAlignment="1">
      <alignment horizontal="center" vertical="center"/>
    </xf>
    <xf numFmtId="176" fontId="0" fillId="0" borderId="0" xfId="0" applyNumberFormat="1"/>
    <xf numFmtId="0" fontId="67" fillId="0" borderId="0" xfId="0" applyFont="1"/>
    <xf numFmtId="10" fontId="17" fillId="47" borderId="131" xfId="178" applyNumberFormat="1" applyFont="1" applyFill="1" applyBorder="1" applyAlignment="1">
      <alignment horizontal="center" vertical="center" wrapText="1"/>
    </xf>
    <xf numFmtId="0" fontId="19" fillId="0" borderId="23" xfId="0" applyFont="1" applyBorder="1" applyAlignment="1">
      <alignment horizontal="center" vertical="center"/>
    </xf>
    <xf numFmtId="0" fontId="43" fillId="0" borderId="23" xfId="0" applyFont="1" applyBorder="1" applyAlignment="1">
      <alignment horizontal="center" vertical="center"/>
    </xf>
    <xf numFmtId="0" fontId="19" fillId="0" borderId="19" xfId="162" applyNumberFormat="1" applyFont="1" applyFill="1" applyBorder="1" applyAlignment="1">
      <alignment horizontal="center" vertical="center"/>
    </xf>
    <xf numFmtId="0" fontId="40" fillId="50" borderId="19" xfId="0" applyFont="1" applyFill="1" applyBorder="1" applyAlignment="1">
      <alignment horizontal="center" vertical="center" wrapText="1"/>
    </xf>
    <xf numFmtId="0" fontId="40" fillId="50" borderId="19" xfId="0" applyFont="1" applyFill="1" applyBorder="1" applyAlignment="1">
      <alignment horizontal="center" vertical="center"/>
    </xf>
    <xf numFmtId="10" fontId="57" fillId="0" borderId="19" xfId="167" applyNumberFormat="1" applyFont="1" applyFill="1" applyBorder="1" applyAlignment="1">
      <alignment horizontal="center" vertical="center"/>
    </xf>
    <xf numFmtId="0" fontId="19" fillId="53" borderId="19" xfId="44" applyFont="1" applyFill="1" applyBorder="1" applyAlignment="1">
      <alignment horizontal="center" vertical="center"/>
    </xf>
    <xf numFmtId="44" fontId="43" fillId="0" borderId="0" xfId="0" applyNumberFormat="1" applyFont="1" applyAlignment="1">
      <alignment horizontal="left" vertical="top"/>
    </xf>
    <xf numFmtId="0" fontId="65" fillId="0" borderId="26" xfId="0" applyFont="1" applyBorder="1"/>
    <xf numFmtId="0" fontId="41" fillId="0" borderId="0" xfId="44" applyFont="1" applyFill="1" applyBorder="1" applyAlignment="1">
      <alignment horizontal="right" vertical="center"/>
    </xf>
    <xf numFmtId="2" fontId="45" fillId="0" borderId="0" xfId="0" applyNumberFormat="1" applyFont="1" applyBorder="1" applyAlignment="1">
      <alignment horizontal="center"/>
    </xf>
    <xf numFmtId="0" fontId="84" fillId="0" borderId="19" xfId="90" applyFont="1" applyBorder="1" applyAlignment="1">
      <alignment horizontal="center" vertical="center"/>
    </xf>
    <xf numFmtId="10" fontId="84" fillId="71" borderId="19" xfId="90" applyNumberFormat="1" applyFont="1" applyFill="1" applyBorder="1" applyAlignment="1" applyProtection="1">
      <alignment horizontal="center" vertical="center"/>
      <protection locked="0"/>
    </xf>
    <xf numFmtId="4" fontId="83" fillId="0" borderId="19" xfId="90" applyNumberFormat="1" applyFont="1" applyBorder="1" applyAlignment="1" applyProtection="1">
      <alignment horizontal="center" vertical="center"/>
      <protection hidden="1"/>
    </xf>
    <xf numFmtId="10" fontId="84" fillId="0" borderId="19" xfId="90" applyNumberFormat="1" applyFont="1" applyBorder="1" applyAlignment="1" applyProtection="1">
      <alignment horizontal="center" vertical="center"/>
      <protection hidden="1"/>
    </xf>
    <xf numFmtId="10" fontId="84" fillId="0" borderId="19" xfId="90" applyNumberFormat="1" applyFont="1" applyBorder="1" applyAlignment="1" applyProtection="1">
      <alignment horizontal="center" vertical="center" wrapText="1"/>
      <protection hidden="1"/>
    </xf>
    <xf numFmtId="0" fontId="84" fillId="0" borderId="19" xfId="90" applyFont="1" applyBorder="1" applyAlignment="1">
      <alignment horizontal="center" vertical="center" wrapText="1"/>
    </xf>
    <xf numFmtId="4" fontId="83" fillId="0" borderId="19" xfId="90" applyNumberFormat="1" applyFont="1" applyBorder="1" applyAlignment="1" applyProtection="1">
      <alignment horizontal="center" vertical="center" wrapText="1"/>
      <protection hidden="1"/>
    </xf>
    <xf numFmtId="0" fontId="87" fillId="0" borderId="19" xfId="90" applyFont="1" applyBorder="1" applyAlignment="1">
      <alignment horizontal="center" vertical="center"/>
    </xf>
    <xf numFmtId="0" fontId="66" fillId="0" borderId="25" xfId="90" applyFont="1" applyBorder="1" applyAlignment="1">
      <alignment horizontal="left"/>
    </xf>
    <xf numFmtId="0" fontId="16" fillId="0" borderId="25" xfId="90" applyBorder="1"/>
    <xf numFmtId="10" fontId="83" fillId="0" borderId="19" xfId="90" applyNumberFormat="1" applyFont="1" applyBorder="1" applyAlignment="1" applyProtection="1">
      <alignment horizontal="center" vertical="center"/>
      <protection hidden="1"/>
    </xf>
    <xf numFmtId="0" fontId="66" fillId="0" borderId="20" xfId="90" applyFont="1" applyBorder="1"/>
    <xf numFmtId="0" fontId="66" fillId="0" borderId="0" xfId="90" applyFont="1" applyBorder="1"/>
    <xf numFmtId="0" fontId="66" fillId="0" borderId="24" xfId="90" applyFont="1" applyBorder="1"/>
    <xf numFmtId="0" fontId="16" fillId="0" borderId="20" xfId="90" applyBorder="1"/>
    <xf numFmtId="0" fontId="16" fillId="0" borderId="0" xfId="90" applyBorder="1"/>
    <xf numFmtId="0" fontId="16" fillId="0" borderId="24" xfId="90" applyBorder="1"/>
    <xf numFmtId="0" fontId="16" fillId="0" borderId="20" xfId="90" applyBorder="1" applyAlignment="1">
      <alignment horizontal="center" vertical="top"/>
    </xf>
    <xf numFmtId="0" fontId="16" fillId="0" borderId="0" xfId="90" applyBorder="1" applyAlignment="1">
      <alignment horizontal="center" vertical="top"/>
    </xf>
    <xf numFmtId="0" fontId="16" fillId="0" borderId="24" xfId="90" applyBorder="1" applyAlignment="1">
      <alignment horizontal="center" vertical="top"/>
    </xf>
    <xf numFmtId="189" fontId="16" fillId="0" borderId="0" xfId="90" applyNumberFormat="1" applyBorder="1"/>
    <xf numFmtId="0" fontId="16" fillId="0" borderId="26" xfId="90" applyBorder="1"/>
    <xf numFmtId="0" fontId="0" fillId="0" borderId="27" xfId="0" applyBorder="1"/>
    <xf numFmtId="0" fontId="0" fillId="0" borderId="28" xfId="0" applyBorder="1"/>
    <xf numFmtId="0" fontId="0" fillId="0" borderId="38" xfId="0" applyBorder="1"/>
    <xf numFmtId="0" fontId="36" fillId="47" borderId="24" xfId="0" applyFont="1" applyFill="1" applyBorder="1" applyAlignment="1">
      <alignment vertical="center"/>
    </xf>
    <xf numFmtId="0" fontId="45" fillId="0" borderId="27" xfId="0" applyFont="1" applyBorder="1"/>
    <xf numFmtId="0" fontId="45" fillId="0" borderId="28" xfId="0" applyFont="1" applyBorder="1"/>
    <xf numFmtId="0" fontId="0" fillId="0" borderId="23" xfId="0" applyBorder="1"/>
    <xf numFmtId="0" fontId="0" fillId="0" borderId="21" xfId="0" applyBorder="1"/>
    <xf numFmtId="0" fontId="0" fillId="0" borderId="29" xfId="0" applyBorder="1"/>
    <xf numFmtId="0" fontId="85" fillId="0" borderId="25" xfId="90" applyFont="1" applyBorder="1" applyAlignment="1">
      <alignment horizontal="center" vertical="center" wrapText="1"/>
    </xf>
    <xf numFmtId="10" fontId="85" fillId="0" borderId="25" xfId="90" applyNumberFormat="1" applyFont="1" applyBorder="1" applyAlignment="1" applyProtection="1">
      <alignment horizontal="center" vertical="center"/>
      <protection hidden="1"/>
    </xf>
    <xf numFmtId="4" fontId="83" fillId="0" borderId="25" xfId="90" applyNumberFormat="1" applyFont="1" applyBorder="1" applyAlignment="1" applyProtection="1">
      <alignment horizontal="center" vertical="center" wrapText="1"/>
      <protection hidden="1"/>
    </xf>
    <xf numFmtId="0" fontId="91" fillId="0" borderId="27" xfId="90" applyFont="1" applyBorder="1" applyAlignment="1">
      <alignment horizontal="center" vertical="top"/>
    </xf>
    <xf numFmtId="0" fontId="91" fillId="0" borderId="28" xfId="90" applyFont="1" applyBorder="1" applyAlignment="1">
      <alignment horizontal="center" vertical="top"/>
    </xf>
    <xf numFmtId="0" fontId="91" fillId="0" borderId="38" xfId="90" applyFont="1" applyBorder="1" applyAlignment="1">
      <alignment horizontal="center" vertical="top"/>
    </xf>
    <xf numFmtId="44" fontId="0" fillId="0" borderId="0" xfId="0" applyNumberFormat="1"/>
    <xf numFmtId="0" fontId="19" fillId="0" borderId="29" xfId="0" applyFont="1" applyFill="1" applyBorder="1" applyAlignment="1">
      <alignment horizontal="center" vertical="center"/>
    </xf>
    <xf numFmtId="0" fontId="19" fillId="47" borderId="19" xfId="0" applyFont="1" applyFill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/>
    </xf>
    <xf numFmtId="0" fontId="19" fillId="47" borderId="23" xfId="0" applyFont="1" applyFill="1" applyBorder="1" applyAlignment="1">
      <alignment horizontal="center" vertical="center"/>
    </xf>
    <xf numFmtId="0" fontId="19" fillId="47" borderId="29" xfId="0" applyFont="1" applyFill="1" applyBorder="1" applyAlignment="1">
      <alignment horizontal="center" vertical="center"/>
    </xf>
    <xf numFmtId="43" fontId="19" fillId="0" borderId="19" xfId="167" applyNumberFormat="1" applyFont="1" applyBorder="1" applyAlignment="1">
      <alignment vertical="center"/>
    </xf>
    <xf numFmtId="164" fontId="0" fillId="0" borderId="0" xfId="169" applyFont="1"/>
    <xf numFmtId="166" fontId="62" fillId="0" borderId="0" xfId="0" applyNumberFormat="1" applyFont="1"/>
    <xf numFmtId="0" fontId="62" fillId="0" borderId="0" xfId="0" applyNumberFormat="1" applyFont="1"/>
    <xf numFmtId="43" fontId="43" fillId="0" borderId="19" xfId="167" applyNumberFormat="1" applyFont="1" applyBorder="1" applyAlignment="1">
      <alignment vertical="center"/>
    </xf>
    <xf numFmtId="190" fontId="43" fillId="0" borderId="29" xfId="162" applyNumberFormat="1" applyFont="1" applyFill="1" applyBorder="1" applyAlignment="1">
      <alignment horizontal="center" vertical="center"/>
    </xf>
    <xf numFmtId="44" fontId="43" fillId="0" borderId="29" xfId="162" applyNumberFormat="1" applyFont="1" applyFill="1" applyBorder="1" applyAlignment="1">
      <alignment horizontal="center" vertical="center"/>
    </xf>
    <xf numFmtId="44" fontId="43" fillId="0" borderId="23" xfId="162" applyNumberFormat="1" applyFont="1" applyBorder="1" applyAlignment="1">
      <alignment horizontal="center" vertical="center"/>
    </xf>
    <xf numFmtId="191" fontId="43" fillId="0" borderId="29" xfId="162" applyNumberFormat="1" applyFont="1" applyFill="1" applyBorder="1" applyAlignment="1">
      <alignment horizontal="center" vertical="center"/>
    </xf>
    <xf numFmtId="49" fontId="19" fillId="0" borderId="19" xfId="0" applyNumberFormat="1" applyFont="1" applyFill="1" applyBorder="1" applyAlignment="1">
      <alignment vertical="center"/>
    </xf>
    <xf numFmtId="0" fontId="19" fillId="47" borderId="21" xfId="0" applyFont="1" applyFill="1" applyBorder="1" applyAlignment="1">
      <alignment horizontal="center" vertical="center"/>
    </xf>
    <xf numFmtId="192" fontId="38" fillId="0" borderId="19" xfId="170" applyNumberFormat="1" applyFont="1" applyBorder="1" applyAlignment="1">
      <alignment horizontal="center" vertical="center"/>
    </xf>
    <xf numFmtId="0" fontId="41" fillId="49" borderId="19" xfId="0" applyFont="1" applyFill="1" applyBorder="1" applyAlignment="1">
      <alignment vertical="center" wrapText="1"/>
    </xf>
    <xf numFmtId="0" fontId="19" fillId="47" borderId="0" xfId="0" applyFont="1" applyFill="1" applyBorder="1" applyAlignment="1">
      <alignment vertical="center" wrapText="1"/>
    </xf>
    <xf numFmtId="0" fontId="41" fillId="47" borderId="0" xfId="0" applyFont="1" applyFill="1" applyBorder="1" applyAlignment="1">
      <alignment vertical="center" wrapText="1"/>
    </xf>
    <xf numFmtId="0" fontId="41" fillId="47" borderId="24" xfId="0" applyFont="1" applyFill="1" applyBorder="1" applyAlignment="1">
      <alignment vertical="center" wrapText="1"/>
    </xf>
    <xf numFmtId="0" fontId="72" fillId="0" borderId="0" xfId="0" applyFont="1" applyBorder="1" applyAlignment="1">
      <alignment horizontal="center" vertical="center"/>
    </xf>
    <xf numFmtId="164" fontId="72" fillId="0" borderId="56" xfId="169" applyFont="1" applyBorder="1" applyAlignment="1">
      <alignment horizontal="center" vertical="center"/>
    </xf>
    <xf numFmtId="193" fontId="81" fillId="0" borderId="40" xfId="168" applyNumberFormat="1" applyFont="1" applyFill="1" applyBorder="1" applyAlignment="1">
      <alignment horizontal="center" vertical="center"/>
    </xf>
    <xf numFmtId="194" fontId="82" fillId="0" borderId="102" xfId="168" applyNumberFormat="1" applyFont="1" applyFill="1" applyBorder="1" applyAlignment="1">
      <alignment horizontal="center" vertical="top"/>
    </xf>
    <xf numFmtId="0" fontId="40" fillId="58" borderId="23" xfId="0" applyFont="1" applyFill="1" applyBorder="1" applyAlignment="1">
      <alignment horizontal="left" vertical="center" wrapText="1"/>
    </xf>
    <xf numFmtId="0" fontId="40" fillId="58" borderId="21" xfId="0" applyFont="1" applyFill="1" applyBorder="1" applyAlignment="1">
      <alignment horizontal="left" vertical="center" wrapText="1"/>
    </xf>
    <xf numFmtId="0" fontId="40" fillId="58" borderId="29" xfId="0" applyFont="1" applyFill="1" applyBorder="1" applyAlignment="1">
      <alignment horizontal="left" vertical="center" wrapText="1"/>
    </xf>
    <xf numFmtId="0" fontId="43" fillId="0" borderId="19" xfId="0" applyFont="1" applyBorder="1" applyAlignment="1">
      <alignment horizontal="left" vertical="top"/>
    </xf>
    <xf numFmtId="0" fontId="43" fillId="0" borderId="22" xfId="0" applyFont="1" applyBorder="1" applyAlignment="1">
      <alignment horizontal="left" vertical="top"/>
    </xf>
    <xf numFmtId="0" fontId="43" fillId="0" borderId="25" xfId="0" applyFont="1" applyBorder="1" applyAlignment="1">
      <alignment horizontal="left" vertical="top"/>
    </xf>
    <xf numFmtId="0" fontId="43" fillId="0" borderId="20" xfId="0" applyFont="1" applyBorder="1" applyAlignment="1">
      <alignment horizontal="left" vertical="top"/>
    </xf>
    <xf numFmtId="0" fontId="43" fillId="0" borderId="0" xfId="0" applyFont="1" applyAlignment="1">
      <alignment horizontal="left" vertical="top"/>
    </xf>
    <xf numFmtId="0" fontId="40" fillId="61" borderId="23" xfId="0" applyFont="1" applyFill="1" applyBorder="1" applyAlignment="1">
      <alignment horizontal="center"/>
    </xf>
    <xf numFmtId="0" fontId="40" fillId="61" borderId="21" xfId="0" applyFont="1" applyFill="1" applyBorder="1" applyAlignment="1">
      <alignment horizontal="center"/>
    </xf>
    <xf numFmtId="0" fontId="40" fillId="61" borderId="29" xfId="0" applyFont="1" applyFill="1" applyBorder="1" applyAlignment="1">
      <alignment horizontal="center"/>
    </xf>
    <xf numFmtId="0" fontId="40" fillId="58" borderId="23" xfId="0" applyFont="1" applyFill="1" applyBorder="1" applyAlignment="1">
      <alignment horizontal="right" vertical="center"/>
    </xf>
    <xf numFmtId="0" fontId="40" fillId="58" borderId="21" xfId="0" applyFont="1" applyFill="1" applyBorder="1" applyAlignment="1">
      <alignment horizontal="right" vertical="center"/>
    </xf>
    <xf numFmtId="0" fontId="40" fillId="58" borderId="29" xfId="0" applyFont="1" applyFill="1" applyBorder="1" applyAlignment="1">
      <alignment horizontal="right" vertical="center"/>
    </xf>
    <xf numFmtId="0" fontId="19" fillId="0" borderId="23" xfId="0" applyFont="1" applyFill="1" applyBorder="1" applyAlignment="1">
      <alignment horizontal="center" vertical="center"/>
    </xf>
    <xf numFmtId="0" fontId="19" fillId="0" borderId="29" xfId="0" applyFont="1" applyFill="1" applyBorder="1" applyAlignment="1">
      <alignment horizontal="center" vertical="center"/>
    </xf>
    <xf numFmtId="0" fontId="41" fillId="49" borderId="27" xfId="0" applyFont="1" applyFill="1" applyBorder="1" applyAlignment="1">
      <alignment horizontal="center" vertical="center" wrapText="1"/>
    </xf>
    <xf numFmtId="0" fontId="41" fillId="49" borderId="28" xfId="0" applyFont="1" applyFill="1" applyBorder="1" applyAlignment="1">
      <alignment horizontal="center" vertical="center" wrapText="1"/>
    </xf>
    <xf numFmtId="0" fontId="41" fillId="47" borderId="22" xfId="0" applyFont="1" applyFill="1" applyBorder="1" applyAlignment="1">
      <alignment horizontal="center" vertical="center" wrapText="1"/>
    </xf>
    <xf numFmtId="0" fontId="41" fillId="47" borderId="25" xfId="0" applyFont="1" applyFill="1" applyBorder="1" applyAlignment="1">
      <alignment horizontal="center" vertical="center" wrapText="1"/>
    </xf>
    <xf numFmtId="0" fontId="41" fillId="47" borderId="27" xfId="0" applyFont="1" applyFill="1" applyBorder="1" applyAlignment="1">
      <alignment horizontal="center" vertical="center" wrapText="1"/>
    </xf>
    <xf numFmtId="0" fontId="41" fillId="47" borderId="28" xfId="0" applyFont="1" applyFill="1" applyBorder="1" applyAlignment="1">
      <alignment horizontal="center" vertical="center" wrapText="1"/>
    </xf>
    <xf numFmtId="0" fontId="19" fillId="47" borderId="19" xfId="0" applyFont="1" applyFill="1" applyBorder="1" applyAlignment="1">
      <alignment horizontal="center" vertical="center" wrapText="1"/>
    </xf>
    <xf numFmtId="0" fontId="40" fillId="0" borderId="23" xfId="0" applyFont="1" applyBorder="1" applyAlignment="1">
      <alignment horizontal="center" vertical="center"/>
    </xf>
    <xf numFmtId="0" fontId="40" fillId="0" borderId="29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42" fillId="61" borderId="23" xfId="0" applyFont="1" applyFill="1" applyBorder="1" applyAlignment="1">
      <alignment horizontal="center" vertical="center"/>
    </xf>
    <xf numFmtId="0" fontId="42" fillId="61" borderId="21" xfId="0" applyFont="1" applyFill="1" applyBorder="1" applyAlignment="1">
      <alignment horizontal="center" vertical="center"/>
    </xf>
    <xf numFmtId="0" fontId="42" fillId="61" borderId="29" xfId="0" applyFont="1" applyFill="1" applyBorder="1" applyAlignment="1">
      <alignment horizontal="center" vertical="center"/>
    </xf>
    <xf numFmtId="0" fontId="41" fillId="47" borderId="23" xfId="0" applyFont="1" applyFill="1" applyBorder="1" applyAlignment="1">
      <alignment horizontal="center" vertical="center"/>
    </xf>
    <xf numFmtId="0" fontId="41" fillId="47" borderId="29" xfId="0" applyFont="1" applyFill="1" applyBorder="1" applyAlignment="1">
      <alignment horizontal="center" vertical="center"/>
    </xf>
    <xf numFmtId="10" fontId="19" fillId="0" borderId="19" xfId="0" applyNumberFormat="1" applyFont="1" applyFill="1" applyBorder="1" applyAlignment="1">
      <alignment horizontal="center" vertical="center"/>
    </xf>
    <xf numFmtId="0" fontId="41" fillId="0" borderId="23" xfId="0" applyFont="1" applyBorder="1" applyAlignment="1">
      <alignment horizontal="center" vertical="center"/>
    </xf>
    <xf numFmtId="0" fontId="41" fillId="0" borderId="29" xfId="0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 wrapText="1"/>
    </xf>
    <xf numFmtId="0" fontId="19" fillId="0" borderId="29" xfId="0" applyFont="1" applyBorder="1" applyAlignment="1">
      <alignment horizontal="center" vertical="center" wrapText="1"/>
    </xf>
    <xf numFmtId="0" fontId="41" fillId="49" borderId="19" xfId="0" applyFont="1" applyFill="1" applyBorder="1" applyAlignment="1">
      <alignment horizontal="left" vertical="center" wrapText="1"/>
    </xf>
    <xf numFmtId="0" fontId="42" fillId="48" borderId="23" xfId="0" applyFont="1" applyFill="1" applyBorder="1" applyAlignment="1">
      <alignment horizontal="center" vertical="center"/>
    </xf>
    <xf numFmtId="0" fontId="42" fillId="48" borderId="21" xfId="0" applyFont="1" applyFill="1" applyBorder="1" applyAlignment="1">
      <alignment horizontal="center" vertical="center"/>
    </xf>
    <xf numFmtId="0" fontId="42" fillId="48" borderId="29" xfId="0" applyFont="1" applyFill="1" applyBorder="1" applyAlignment="1">
      <alignment horizontal="center" vertical="center"/>
    </xf>
    <xf numFmtId="0" fontId="40" fillId="52" borderId="23" xfId="0" applyFont="1" applyFill="1" applyBorder="1" applyAlignment="1">
      <alignment horizontal="center"/>
    </xf>
    <xf numFmtId="0" fontId="40" fillId="52" borderId="21" xfId="0" applyFont="1" applyFill="1" applyBorder="1" applyAlignment="1">
      <alignment horizontal="center"/>
    </xf>
    <xf numFmtId="0" fontId="40" fillId="52" borderId="29" xfId="0" applyFont="1" applyFill="1" applyBorder="1" applyAlignment="1">
      <alignment horizontal="center"/>
    </xf>
    <xf numFmtId="49" fontId="19" fillId="0" borderId="23" xfId="0" applyNumberFormat="1" applyFont="1" applyFill="1" applyBorder="1" applyAlignment="1">
      <alignment horizontal="center" vertical="center" wrapText="1"/>
    </xf>
    <xf numFmtId="49" fontId="19" fillId="0" borderId="29" xfId="0" applyNumberFormat="1" applyFont="1" applyFill="1" applyBorder="1" applyAlignment="1">
      <alignment horizontal="center" vertical="center" wrapText="1"/>
    </xf>
    <xf numFmtId="0" fontId="41" fillId="58" borderId="23" xfId="0" applyFont="1" applyFill="1" applyBorder="1" applyAlignment="1">
      <alignment horizontal="right" vertical="center"/>
    </xf>
    <xf numFmtId="0" fontId="41" fillId="58" borderId="21" xfId="0" applyFont="1" applyFill="1" applyBorder="1" applyAlignment="1">
      <alignment horizontal="right" vertical="center"/>
    </xf>
    <xf numFmtId="0" fontId="41" fillId="58" borderId="29" xfId="0" applyFont="1" applyFill="1" applyBorder="1" applyAlignment="1">
      <alignment horizontal="right" vertical="center"/>
    </xf>
    <xf numFmtId="0" fontId="41" fillId="0" borderId="21" xfId="0" applyFont="1" applyBorder="1" applyAlignment="1">
      <alignment horizontal="center" vertical="center"/>
    </xf>
    <xf numFmtId="0" fontId="41" fillId="49" borderId="23" xfId="0" applyFont="1" applyFill="1" applyBorder="1" applyAlignment="1">
      <alignment horizontal="left" vertical="center" wrapText="1"/>
    </xf>
    <xf numFmtId="0" fontId="41" fillId="49" borderId="21" xfId="0" applyFont="1" applyFill="1" applyBorder="1" applyAlignment="1">
      <alignment horizontal="left" vertical="center" wrapText="1"/>
    </xf>
    <xf numFmtId="10" fontId="19" fillId="0" borderId="23" xfId="0" applyNumberFormat="1" applyFont="1" applyFill="1" applyBorder="1" applyAlignment="1">
      <alignment horizontal="center" vertical="center"/>
    </xf>
    <xf numFmtId="10" fontId="19" fillId="0" borderId="21" xfId="0" applyNumberFormat="1" applyFont="1" applyFill="1" applyBorder="1" applyAlignment="1">
      <alignment horizontal="center" vertical="center"/>
    </xf>
    <xf numFmtId="10" fontId="19" fillId="0" borderId="29" xfId="0" applyNumberFormat="1" applyFont="1" applyFill="1" applyBorder="1" applyAlignment="1">
      <alignment horizontal="center" vertical="center"/>
    </xf>
    <xf numFmtId="0" fontId="41" fillId="62" borderId="23" xfId="0" applyFont="1" applyFill="1" applyBorder="1" applyAlignment="1">
      <alignment horizontal="center" vertical="center"/>
    </xf>
    <xf numFmtId="0" fontId="41" fillId="62" borderId="21" xfId="0" applyFont="1" applyFill="1" applyBorder="1" applyAlignment="1">
      <alignment horizontal="center" vertical="center"/>
    </xf>
    <xf numFmtId="0" fontId="41" fillId="62" borderId="29" xfId="0" applyFont="1" applyFill="1" applyBorder="1" applyAlignment="1">
      <alignment horizontal="center" vertical="center"/>
    </xf>
    <xf numFmtId="0" fontId="19" fillId="47" borderId="23" xfId="0" applyFont="1" applyFill="1" applyBorder="1" applyAlignment="1">
      <alignment horizontal="center" vertical="center"/>
    </xf>
    <xf numFmtId="0" fontId="19" fillId="47" borderId="29" xfId="0" applyFont="1" applyFill="1" applyBorder="1" applyAlignment="1">
      <alignment horizontal="center" vertical="center"/>
    </xf>
    <xf numFmtId="0" fontId="19" fillId="0" borderId="23" xfId="0" applyFont="1" applyFill="1" applyBorder="1" applyAlignment="1">
      <alignment horizontal="center" vertical="center" wrapText="1"/>
    </xf>
    <xf numFmtId="0" fontId="19" fillId="0" borderId="29" xfId="0" applyFont="1" applyFill="1" applyBorder="1" applyAlignment="1">
      <alignment horizontal="center" vertical="center" wrapText="1"/>
    </xf>
    <xf numFmtId="0" fontId="41" fillId="58" borderId="23" xfId="0" applyFont="1" applyFill="1" applyBorder="1" applyAlignment="1">
      <alignment horizontal="left" vertical="center" wrapText="1"/>
    </xf>
    <xf numFmtId="0" fontId="41" fillId="58" borderId="21" xfId="0" applyFont="1" applyFill="1" applyBorder="1" applyAlignment="1">
      <alignment horizontal="left" vertical="center" wrapText="1"/>
    </xf>
    <xf numFmtId="0" fontId="41" fillId="58" borderId="29" xfId="0" applyFont="1" applyFill="1" applyBorder="1" applyAlignment="1">
      <alignment horizontal="left" vertical="center" wrapText="1"/>
    </xf>
    <xf numFmtId="0" fontId="41" fillId="52" borderId="23" xfId="0" applyFont="1" applyFill="1" applyBorder="1" applyAlignment="1">
      <alignment horizontal="center"/>
    </xf>
    <xf numFmtId="0" fontId="41" fillId="52" borderId="21" xfId="0" applyFont="1" applyFill="1" applyBorder="1" applyAlignment="1">
      <alignment horizontal="center"/>
    </xf>
    <xf numFmtId="0" fontId="41" fillId="52" borderId="29" xfId="0" applyFont="1" applyFill="1" applyBorder="1" applyAlignment="1">
      <alignment horizontal="center"/>
    </xf>
    <xf numFmtId="49" fontId="19" fillId="0" borderId="23" xfId="0" applyNumberFormat="1" applyFont="1" applyFill="1" applyBorder="1" applyAlignment="1">
      <alignment horizontal="center" vertical="center"/>
    </xf>
    <xf numFmtId="49" fontId="19" fillId="0" borderId="29" xfId="0" applyNumberFormat="1" applyFont="1" applyFill="1" applyBorder="1" applyAlignment="1">
      <alignment horizontal="center" vertical="center"/>
    </xf>
    <xf numFmtId="0" fontId="40" fillId="62" borderId="23" xfId="0" applyFont="1" applyFill="1" applyBorder="1" applyAlignment="1">
      <alignment horizontal="center" vertical="center"/>
    </xf>
    <xf numFmtId="0" fontId="40" fillId="62" borderId="21" xfId="0" applyFont="1" applyFill="1" applyBorder="1" applyAlignment="1">
      <alignment horizontal="center" vertical="center"/>
    </xf>
    <xf numFmtId="0" fontId="40" fillId="62" borderId="29" xfId="0" applyFont="1" applyFill="1" applyBorder="1" applyAlignment="1">
      <alignment horizontal="center" vertical="center"/>
    </xf>
    <xf numFmtId="0" fontId="40" fillId="62" borderId="23" xfId="0" applyFont="1" applyFill="1" applyBorder="1" applyAlignment="1">
      <alignment horizontal="center" vertical="center" wrapText="1"/>
    </xf>
    <xf numFmtId="0" fontId="40" fillId="62" borderId="21" xfId="0" applyFont="1" applyFill="1" applyBorder="1" applyAlignment="1">
      <alignment horizontal="center" vertical="center" wrapText="1"/>
    </xf>
    <xf numFmtId="0" fontId="40" fillId="62" borderId="29" xfId="0" applyFont="1" applyFill="1" applyBorder="1" applyAlignment="1">
      <alignment horizontal="center" vertical="center" wrapText="1"/>
    </xf>
    <xf numFmtId="10" fontId="19" fillId="0" borderId="34" xfId="0" applyNumberFormat="1" applyFont="1" applyFill="1" applyBorder="1" applyAlignment="1">
      <alignment horizontal="center" vertical="center"/>
    </xf>
    <xf numFmtId="0" fontId="81" fillId="0" borderId="100" xfId="168" applyFont="1" applyFill="1" applyBorder="1" applyAlignment="1">
      <alignment horizontal="center" vertical="center"/>
    </xf>
    <xf numFmtId="0" fontId="81" fillId="0" borderId="101" xfId="168" applyFont="1" applyFill="1" applyBorder="1" applyAlignment="1">
      <alignment horizontal="center" vertical="center"/>
    </xf>
    <xf numFmtId="0" fontId="81" fillId="0" borderId="94" xfId="168" applyFont="1" applyFill="1" applyBorder="1" applyAlignment="1">
      <alignment horizontal="center" vertical="center"/>
    </xf>
    <xf numFmtId="0" fontId="81" fillId="60" borderId="100" xfId="168" applyFont="1" applyFill="1" applyBorder="1" applyAlignment="1">
      <alignment horizontal="center" vertical="center"/>
    </xf>
    <xf numFmtId="0" fontId="81" fillId="60" borderId="101" xfId="168" applyFont="1" applyFill="1" applyBorder="1" applyAlignment="1">
      <alignment horizontal="center" vertical="center"/>
    </xf>
    <xf numFmtId="0" fontId="19" fillId="0" borderId="25" xfId="0" applyFont="1" applyBorder="1" applyAlignment="1">
      <alignment horizontal="center" vertical="center" wrapText="1"/>
    </xf>
    <xf numFmtId="0" fontId="19" fillId="0" borderId="106" xfId="0" applyFont="1" applyBorder="1" applyAlignment="1">
      <alignment horizontal="center" vertical="center" wrapText="1"/>
    </xf>
    <xf numFmtId="0" fontId="41" fillId="49" borderId="41" xfId="0" applyFont="1" applyFill="1" applyBorder="1" applyAlignment="1">
      <alignment horizontal="left" vertical="center" wrapText="1"/>
    </xf>
    <xf numFmtId="0" fontId="41" fillId="49" borderId="42" xfId="0" applyFont="1" applyFill="1" applyBorder="1" applyAlignment="1">
      <alignment horizontal="left" vertical="center" wrapText="1"/>
    </xf>
    <xf numFmtId="0" fontId="41" fillId="49" borderId="50" xfId="0" applyFont="1" applyFill="1" applyBorder="1" applyAlignment="1">
      <alignment horizontal="left" vertical="center" wrapText="1"/>
    </xf>
    <xf numFmtId="0" fontId="41" fillId="49" borderId="45" xfId="0" applyFont="1" applyFill="1" applyBorder="1" applyAlignment="1">
      <alignment horizontal="left" vertical="center" wrapText="1"/>
    </xf>
    <xf numFmtId="0" fontId="81" fillId="0" borderId="41" xfId="168" applyFont="1" applyFill="1" applyBorder="1" applyAlignment="1">
      <alignment horizontal="center"/>
    </xf>
    <xf numFmtId="0" fontId="81" fillId="0" borderId="42" xfId="168" applyFont="1" applyFill="1" applyBorder="1" applyAlignment="1">
      <alignment horizontal="center"/>
    </xf>
    <xf numFmtId="0" fontId="81" fillId="0" borderId="45" xfId="168" applyFont="1" applyFill="1" applyBorder="1" applyAlignment="1">
      <alignment horizontal="center"/>
    </xf>
    <xf numFmtId="0" fontId="82" fillId="0" borderId="40" xfId="168" applyFont="1" applyFill="1" applyBorder="1" applyAlignment="1">
      <alignment horizontal="center" vertical="center" wrapText="1"/>
    </xf>
    <xf numFmtId="1" fontId="82" fillId="0" borderId="100" xfId="168" applyNumberFormat="1" applyFont="1" applyFill="1" applyBorder="1" applyAlignment="1" applyProtection="1">
      <alignment horizontal="left" vertical="center" wrapText="1"/>
      <protection locked="0"/>
    </xf>
    <xf numFmtId="0" fontId="82" fillId="0" borderId="103" xfId="168" applyNumberFormat="1" applyFont="1" applyFill="1" applyBorder="1" applyAlignment="1" applyProtection="1">
      <alignment horizontal="left" vertical="center" wrapText="1"/>
      <protection locked="0"/>
    </xf>
    <xf numFmtId="0" fontId="82" fillId="0" borderId="101" xfId="168" applyNumberFormat="1" applyFont="1" applyFill="1" applyBorder="1" applyAlignment="1" applyProtection="1">
      <alignment horizontal="left" vertical="center" wrapText="1"/>
      <protection locked="0"/>
    </xf>
    <xf numFmtId="0" fontId="41" fillId="49" borderId="32" xfId="0" applyFont="1" applyFill="1" applyBorder="1" applyAlignment="1">
      <alignment horizontal="center" vertical="center" wrapText="1"/>
    </xf>
    <xf numFmtId="0" fontId="41" fillId="49" borderId="33" xfId="0" applyFont="1" applyFill="1" applyBorder="1" applyAlignment="1">
      <alignment horizontal="center" vertical="center" wrapText="1"/>
    </xf>
    <xf numFmtId="0" fontId="19" fillId="0" borderId="34" xfId="0" applyFont="1" applyBorder="1" applyAlignment="1">
      <alignment horizontal="center" vertical="center"/>
    </xf>
    <xf numFmtId="0" fontId="41" fillId="47" borderId="26" xfId="0" applyFont="1" applyFill="1" applyBorder="1" applyAlignment="1">
      <alignment horizontal="center" vertical="center" wrapText="1"/>
    </xf>
    <xf numFmtId="0" fontId="41" fillId="47" borderId="38" xfId="0" applyFont="1" applyFill="1" applyBorder="1" applyAlignment="1">
      <alignment horizontal="center" vertical="center" wrapText="1"/>
    </xf>
    <xf numFmtId="0" fontId="63" fillId="0" borderId="23" xfId="0" applyFont="1" applyBorder="1" applyAlignment="1">
      <alignment horizontal="center" vertical="center"/>
    </xf>
    <xf numFmtId="0" fontId="63" fillId="0" borderId="21" xfId="0" applyFont="1" applyBorder="1" applyAlignment="1">
      <alignment horizontal="center" vertical="center"/>
    </xf>
    <xf numFmtId="0" fontId="63" fillId="0" borderId="29" xfId="0" applyFont="1" applyBorder="1" applyAlignment="1">
      <alignment horizontal="center" vertical="center"/>
    </xf>
    <xf numFmtId="0" fontId="36" fillId="47" borderId="0" xfId="0" applyFont="1" applyFill="1" applyBorder="1" applyAlignment="1">
      <alignment horizontal="center" vertical="center"/>
    </xf>
    <xf numFmtId="0" fontId="36" fillId="47" borderId="24" xfId="0" applyFont="1" applyFill="1" applyBorder="1" applyAlignment="1">
      <alignment horizontal="center" vertical="center"/>
    </xf>
    <xf numFmtId="0" fontId="19" fillId="47" borderId="0" xfId="0" applyFont="1" applyFill="1" applyBorder="1" applyAlignment="1">
      <alignment horizontal="center" vertical="center"/>
    </xf>
    <xf numFmtId="0" fontId="19" fillId="47" borderId="24" xfId="0" applyFont="1" applyFill="1" applyBorder="1" applyAlignment="1">
      <alignment horizontal="center" vertical="center"/>
    </xf>
    <xf numFmtId="0" fontId="17" fillId="47" borderId="25" xfId="0" applyFont="1" applyFill="1" applyBorder="1" applyAlignment="1">
      <alignment horizontal="center" vertical="center"/>
    </xf>
    <xf numFmtId="0" fontId="41" fillId="49" borderId="19" xfId="0" applyFont="1" applyFill="1" applyBorder="1" applyAlignment="1">
      <alignment horizontal="center" vertical="center" wrapText="1"/>
    </xf>
    <xf numFmtId="0" fontId="40" fillId="0" borderId="21" xfId="0" applyFont="1" applyBorder="1" applyAlignment="1">
      <alignment horizontal="center" vertical="center"/>
    </xf>
    <xf numFmtId="0" fontId="41" fillId="47" borderId="21" xfId="0" applyFont="1" applyFill="1" applyBorder="1" applyAlignment="1">
      <alignment horizontal="center" vertical="center"/>
    </xf>
    <xf numFmtId="0" fontId="41" fillId="0" borderId="25" xfId="0" applyFont="1" applyBorder="1" applyAlignment="1">
      <alignment horizontal="center" vertical="center"/>
    </xf>
    <xf numFmtId="0" fontId="41" fillId="0" borderId="26" xfId="0" applyFont="1" applyBorder="1" applyAlignment="1">
      <alignment horizontal="center" vertical="center"/>
    </xf>
    <xf numFmtId="0" fontId="19" fillId="0" borderId="26" xfId="0" applyFont="1" applyBorder="1" applyAlignment="1">
      <alignment horizontal="center" vertical="center" wrapText="1"/>
    </xf>
    <xf numFmtId="0" fontId="72" fillId="0" borderId="19" xfId="0" applyFont="1" applyBorder="1" applyAlignment="1">
      <alignment horizontal="center" vertical="center"/>
    </xf>
    <xf numFmtId="0" fontId="72" fillId="0" borderId="0" xfId="0" applyFont="1" applyBorder="1" applyAlignment="1">
      <alignment horizontal="center" vertical="center"/>
    </xf>
    <xf numFmtId="0" fontId="60" fillId="48" borderId="19" xfId="0" applyFont="1" applyFill="1" applyBorder="1" applyAlignment="1" applyProtection="1">
      <alignment horizontal="center" vertical="center" wrapText="1"/>
      <protection locked="0"/>
    </xf>
    <xf numFmtId="0" fontId="41" fillId="49" borderId="22" xfId="0" applyFont="1" applyFill="1" applyBorder="1" applyAlignment="1">
      <alignment horizontal="left" vertical="center" wrapText="1"/>
    </xf>
    <xf numFmtId="0" fontId="41" fillId="49" borderId="25" xfId="0" applyFont="1" applyFill="1" applyBorder="1" applyAlignment="1">
      <alignment horizontal="left" vertical="center" wrapText="1"/>
    </xf>
    <xf numFmtId="0" fontId="41" fillId="49" borderId="26" xfId="0" applyFont="1" applyFill="1" applyBorder="1" applyAlignment="1">
      <alignment horizontal="left" vertical="center" wrapText="1"/>
    </xf>
    <xf numFmtId="2" fontId="41" fillId="0" borderId="41" xfId="0" applyNumberFormat="1" applyFont="1" applyFill="1" applyBorder="1" applyAlignment="1">
      <alignment horizontal="center"/>
    </xf>
    <xf numFmtId="2" fontId="41" fillId="0" borderId="42" xfId="0" applyNumberFormat="1" applyFont="1" applyFill="1" applyBorder="1" applyAlignment="1">
      <alignment horizontal="center"/>
    </xf>
    <xf numFmtId="2" fontId="41" fillId="0" borderId="43" xfId="0" applyNumberFormat="1" applyFont="1" applyFill="1" applyBorder="1" applyAlignment="1">
      <alignment horizontal="center"/>
    </xf>
    <xf numFmtId="17" fontId="41" fillId="0" borderId="44" xfId="0" quotePrefix="1" applyNumberFormat="1" applyFont="1" applyFill="1" applyBorder="1" applyAlignment="1">
      <alignment horizontal="center"/>
    </xf>
    <xf numFmtId="17" fontId="41" fillId="0" borderId="45" xfId="0" quotePrefix="1" applyNumberFormat="1" applyFont="1" applyFill="1" applyBorder="1" applyAlignment="1">
      <alignment horizontal="center"/>
    </xf>
    <xf numFmtId="49" fontId="41" fillId="50" borderId="107" xfId="91" applyNumberFormat="1" applyFont="1" applyFill="1" applyBorder="1" applyAlignment="1">
      <alignment horizontal="center" vertical="center"/>
    </xf>
    <xf numFmtId="49" fontId="41" fillId="50" borderId="108" xfId="91" applyNumberFormat="1" applyFont="1" applyFill="1" applyBorder="1" applyAlignment="1">
      <alignment horizontal="center" vertical="center"/>
    </xf>
    <xf numFmtId="49" fontId="41" fillId="50" borderId="109" xfId="91" applyNumberFormat="1" applyFont="1" applyFill="1" applyBorder="1" applyAlignment="1">
      <alignment horizontal="center" vertical="center"/>
    </xf>
    <xf numFmtId="0" fontId="60" fillId="48" borderId="19" xfId="0" applyFont="1" applyFill="1" applyBorder="1" applyAlignment="1" applyProtection="1">
      <alignment horizontal="left" vertical="center" wrapText="1" indent="1"/>
      <protection locked="0"/>
    </xf>
    <xf numFmtId="0" fontId="66" fillId="0" borderId="94" xfId="44" applyFont="1" applyBorder="1" applyAlignment="1">
      <alignment horizontal="center" vertical="center"/>
    </xf>
    <xf numFmtId="0" fontId="66" fillId="0" borderId="95" xfId="44" applyFont="1" applyBorder="1" applyAlignment="1">
      <alignment horizontal="center" vertical="center"/>
    </xf>
    <xf numFmtId="0" fontId="66" fillId="0" borderId="96" xfId="44" applyFont="1" applyBorder="1" applyAlignment="1">
      <alignment horizontal="center" vertical="center"/>
    </xf>
    <xf numFmtId="0" fontId="66" fillId="54" borderId="53" xfId="44" applyFont="1" applyFill="1" applyBorder="1" applyAlignment="1">
      <alignment horizontal="center" vertical="center" wrapText="1"/>
    </xf>
    <xf numFmtId="0" fontId="66" fillId="54" borderId="19" xfId="44" applyFont="1" applyFill="1" applyBorder="1" applyAlignment="1">
      <alignment horizontal="center" vertical="center" wrapText="1"/>
    </xf>
    <xf numFmtId="0" fontId="43" fillId="0" borderId="19" xfId="0" applyFont="1" applyBorder="1" applyAlignment="1">
      <alignment horizontal="left" vertical="center" wrapText="1"/>
    </xf>
    <xf numFmtId="0" fontId="41" fillId="0" borderId="35" xfId="44" applyFont="1" applyFill="1" applyBorder="1" applyAlignment="1">
      <alignment horizontal="right" vertical="center"/>
    </xf>
    <xf numFmtId="0" fontId="41" fillId="0" borderId="36" xfId="44" applyFont="1" applyFill="1" applyBorder="1" applyAlignment="1">
      <alignment horizontal="right" vertical="center"/>
    </xf>
    <xf numFmtId="0" fontId="41" fillId="0" borderId="39" xfId="44" applyFont="1" applyFill="1" applyBorder="1" applyAlignment="1">
      <alignment horizontal="right" vertical="center"/>
    </xf>
    <xf numFmtId="0" fontId="41" fillId="54" borderId="53" xfId="44" applyFont="1" applyFill="1" applyBorder="1" applyAlignment="1">
      <alignment horizontal="center" vertical="center" wrapText="1"/>
    </xf>
    <xf numFmtId="0" fontId="41" fillId="54" borderId="19" xfId="44" applyFont="1" applyFill="1" applyBorder="1" applyAlignment="1">
      <alignment horizontal="center" vertical="center" wrapText="1"/>
    </xf>
    <xf numFmtId="0" fontId="41" fillId="54" borderId="20" xfId="44" applyFont="1" applyFill="1" applyBorder="1" applyAlignment="1">
      <alignment horizontal="center" vertical="center" wrapText="1"/>
    </xf>
    <xf numFmtId="0" fontId="41" fillId="54" borderId="0" xfId="44" applyFont="1" applyFill="1" applyBorder="1" applyAlignment="1">
      <alignment horizontal="center" vertical="center" wrapText="1"/>
    </xf>
    <xf numFmtId="0" fontId="41" fillId="54" borderId="97" xfId="44" applyFont="1" applyFill="1" applyBorder="1" applyAlignment="1">
      <alignment horizontal="center" vertical="center" wrapText="1"/>
    </xf>
    <xf numFmtId="0" fontId="19" fillId="53" borderId="19" xfId="44" applyFont="1" applyFill="1" applyBorder="1" applyAlignment="1">
      <alignment horizontal="center" vertical="center"/>
    </xf>
    <xf numFmtId="0" fontId="75" fillId="0" borderId="19" xfId="0" applyFont="1" applyBorder="1" applyAlignment="1">
      <alignment horizontal="left" vertical="center" wrapText="1"/>
    </xf>
    <xf numFmtId="0" fontId="41" fillId="0" borderId="94" xfId="44" applyFont="1" applyBorder="1" applyAlignment="1">
      <alignment horizontal="center" vertical="center"/>
    </xf>
    <xf numFmtId="0" fontId="41" fillId="0" borderId="95" xfId="44" applyFont="1" applyBorder="1" applyAlignment="1">
      <alignment horizontal="center" vertical="center"/>
    </xf>
    <xf numFmtId="0" fontId="41" fillId="0" borderId="96" xfId="44" applyFont="1" applyBorder="1" applyAlignment="1">
      <alignment horizontal="center" vertical="center"/>
    </xf>
    <xf numFmtId="0" fontId="66" fillId="54" borderId="20" xfId="44" applyFont="1" applyFill="1" applyBorder="1" applyAlignment="1">
      <alignment horizontal="center" vertical="center" wrapText="1"/>
    </xf>
    <xf numFmtId="0" fontId="66" fillId="54" borderId="0" xfId="44" applyFont="1" applyFill="1" applyBorder="1" applyAlignment="1">
      <alignment horizontal="center" vertical="center" wrapText="1"/>
    </xf>
    <xf numFmtId="0" fontId="66" fillId="54" borderId="97" xfId="44" applyFont="1" applyFill="1" applyBorder="1" applyAlignment="1">
      <alignment horizontal="center" vertical="center" wrapText="1"/>
    </xf>
    <xf numFmtId="0" fontId="74" fillId="0" borderId="19" xfId="0" applyFont="1" applyBorder="1" applyAlignment="1">
      <alignment horizontal="left" vertical="center" wrapText="1"/>
    </xf>
    <xf numFmtId="0" fontId="73" fillId="0" borderId="19" xfId="0" applyFont="1" applyBorder="1" applyAlignment="1">
      <alignment horizontal="left" vertical="center" wrapText="1"/>
    </xf>
    <xf numFmtId="0" fontId="19" fillId="0" borderId="19" xfId="0" applyFont="1" applyBorder="1" applyAlignment="1">
      <alignment horizontal="center" vertical="center" wrapText="1"/>
    </xf>
    <xf numFmtId="0" fontId="41" fillId="49" borderId="29" xfId="0" applyFont="1" applyFill="1" applyBorder="1" applyAlignment="1">
      <alignment horizontal="left" vertical="center" wrapText="1"/>
    </xf>
    <xf numFmtId="0" fontId="76" fillId="0" borderId="46" xfId="44" applyFont="1" applyBorder="1" applyAlignment="1">
      <alignment horizontal="center" vertical="center"/>
    </xf>
    <xf numFmtId="0" fontId="76" fillId="0" borderId="47" xfId="44" applyFont="1" applyBorder="1" applyAlignment="1">
      <alignment horizontal="center" vertical="center"/>
    </xf>
    <xf numFmtId="0" fontId="76" fillId="0" borderId="52" xfId="44" applyFont="1" applyBorder="1" applyAlignment="1">
      <alignment horizontal="center" vertical="center"/>
    </xf>
    <xf numFmtId="0" fontId="76" fillId="0" borderId="35" xfId="44" applyFont="1" applyFill="1" applyBorder="1" applyAlignment="1">
      <alignment horizontal="center" vertical="center"/>
    </xf>
    <xf numFmtId="0" fontId="76" fillId="0" borderId="36" xfId="44" applyFont="1" applyFill="1" applyBorder="1" applyAlignment="1">
      <alignment horizontal="center" vertical="center"/>
    </xf>
    <xf numFmtId="0" fontId="76" fillId="0" borderId="39" xfId="44" applyFont="1" applyFill="1" applyBorder="1" applyAlignment="1">
      <alignment horizontal="center" vertical="center"/>
    </xf>
    <xf numFmtId="0" fontId="19" fillId="47" borderId="19" xfId="0" applyFont="1" applyFill="1" applyBorder="1" applyAlignment="1">
      <alignment horizontal="left" vertical="center" wrapText="1"/>
    </xf>
    <xf numFmtId="0" fontId="76" fillId="54" borderId="55" xfId="44" applyFont="1" applyFill="1" applyBorder="1" applyAlignment="1">
      <alignment horizontal="center" vertical="center" wrapText="1"/>
    </xf>
    <xf numFmtId="0" fontId="76" fillId="54" borderId="56" xfId="44" applyFont="1" applyFill="1" applyBorder="1" applyAlignment="1">
      <alignment horizontal="center" vertical="center" wrapText="1"/>
    </xf>
    <xf numFmtId="0" fontId="76" fillId="54" borderId="27" xfId="44" applyFont="1" applyFill="1" applyBorder="1" applyAlignment="1">
      <alignment horizontal="center" vertical="center" wrapText="1"/>
    </xf>
    <xf numFmtId="0" fontId="76" fillId="54" borderId="28" xfId="44" applyFont="1" applyFill="1" applyBorder="1" applyAlignment="1">
      <alignment horizontal="center" vertical="center" wrapText="1"/>
    </xf>
    <xf numFmtId="0" fontId="76" fillId="54" borderId="57" xfId="44" applyFont="1" applyFill="1" applyBorder="1" applyAlignment="1">
      <alignment horizontal="center" vertical="center" wrapText="1"/>
    </xf>
    <xf numFmtId="0" fontId="19" fillId="53" borderId="22" xfId="44" applyFont="1" applyFill="1" applyBorder="1" applyAlignment="1">
      <alignment horizontal="center" vertical="center"/>
    </xf>
    <xf numFmtId="0" fontId="19" fillId="53" borderId="25" xfId="44" applyFont="1" applyFill="1" applyBorder="1" applyAlignment="1">
      <alignment horizontal="center" vertical="center"/>
    </xf>
    <xf numFmtId="0" fontId="19" fillId="53" borderId="26" xfId="44" applyFont="1" applyFill="1" applyBorder="1" applyAlignment="1">
      <alignment horizontal="center" vertical="center"/>
    </xf>
    <xf numFmtId="0" fontId="16" fillId="53" borderId="19" xfId="44" applyFont="1" applyFill="1" applyBorder="1" applyAlignment="1">
      <alignment horizontal="center" vertical="center"/>
    </xf>
    <xf numFmtId="0" fontId="66" fillId="0" borderId="35" xfId="44" applyFont="1" applyFill="1" applyBorder="1" applyAlignment="1">
      <alignment horizontal="right" vertical="center"/>
    </xf>
    <xf numFmtId="0" fontId="66" fillId="0" borderId="36" xfId="44" applyFont="1" applyFill="1" applyBorder="1" applyAlignment="1">
      <alignment horizontal="right" vertical="center"/>
    </xf>
    <xf numFmtId="0" fontId="66" fillId="0" borderId="39" xfId="44" applyFont="1" applyFill="1" applyBorder="1" applyAlignment="1">
      <alignment horizontal="right" vertical="center"/>
    </xf>
    <xf numFmtId="0" fontId="43" fillId="0" borderId="23" xfId="0" applyFont="1" applyBorder="1" applyAlignment="1">
      <alignment horizontal="left" vertical="center" wrapText="1"/>
    </xf>
    <xf numFmtId="0" fontId="43" fillId="0" borderId="21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77" fillId="47" borderId="23" xfId="0" applyFont="1" applyFill="1" applyBorder="1" applyAlignment="1">
      <alignment horizontal="left" vertical="center" wrapText="1"/>
    </xf>
    <xf numFmtId="0" fontId="77" fillId="47" borderId="21" xfId="0" applyFont="1" applyFill="1" applyBorder="1" applyAlignment="1">
      <alignment horizontal="left" vertical="center" wrapText="1"/>
    </xf>
    <xf numFmtId="0" fontId="77" fillId="47" borderId="29" xfId="0" applyFont="1" applyFill="1" applyBorder="1" applyAlignment="1">
      <alignment horizontal="left" vertical="center" wrapText="1"/>
    </xf>
    <xf numFmtId="0" fontId="56" fillId="0" borderId="23" xfId="44" applyFont="1" applyFill="1" applyBorder="1" applyAlignment="1">
      <alignment horizontal="left" vertical="center" wrapText="1"/>
    </xf>
    <xf numFmtId="0" fontId="56" fillId="0" borderId="21" xfId="44" applyFont="1" applyFill="1" applyBorder="1" applyAlignment="1">
      <alignment horizontal="left" vertical="center" wrapText="1"/>
    </xf>
    <xf numFmtId="0" fontId="56" fillId="0" borderId="29" xfId="44" applyFont="1" applyFill="1" applyBorder="1" applyAlignment="1">
      <alignment horizontal="left" vertical="center" wrapText="1"/>
    </xf>
    <xf numFmtId="0" fontId="56" fillId="47" borderId="23" xfId="171" applyFont="1" applyFill="1" applyBorder="1" applyAlignment="1">
      <alignment horizontal="left" vertical="center" wrapText="1"/>
    </xf>
    <xf numFmtId="0" fontId="56" fillId="47" borderId="21" xfId="171" applyFont="1" applyFill="1" applyBorder="1" applyAlignment="1">
      <alignment horizontal="left" vertical="center" wrapText="1"/>
    </xf>
    <xf numFmtId="0" fontId="56" fillId="47" borderId="29" xfId="171" applyFont="1" applyFill="1" applyBorder="1" applyAlignment="1">
      <alignment horizontal="left" vertical="center" wrapText="1"/>
    </xf>
    <xf numFmtId="0" fontId="55" fillId="64" borderId="19" xfId="171" applyFont="1" applyFill="1" applyBorder="1" applyAlignment="1">
      <alignment horizontal="center" vertical="top" wrapText="1"/>
    </xf>
    <xf numFmtId="0" fontId="71" fillId="64" borderId="28" xfId="0" applyFont="1" applyFill="1" applyBorder="1" applyAlignment="1">
      <alignment horizontal="center" vertical="center"/>
    </xf>
    <xf numFmtId="0" fontId="56" fillId="53" borderId="22" xfId="44" applyFont="1" applyFill="1" applyBorder="1" applyAlignment="1">
      <alignment horizontal="center" vertical="center"/>
    </xf>
    <xf numFmtId="0" fontId="56" fillId="53" borderId="25" xfId="44" applyFont="1" applyFill="1" applyBorder="1" applyAlignment="1">
      <alignment horizontal="center" vertical="center"/>
    </xf>
    <xf numFmtId="0" fontId="56" fillId="53" borderId="26" xfId="44" applyFont="1" applyFill="1" applyBorder="1" applyAlignment="1">
      <alignment horizontal="center" vertical="center"/>
    </xf>
    <xf numFmtId="0" fontId="56" fillId="47" borderId="19" xfId="171" applyFont="1" applyFill="1" applyBorder="1" applyAlignment="1">
      <alignment horizontal="left" vertical="center" wrapText="1"/>
    </xf>
    <xf numFmtId="0" fontId="55" fillId="0" borderId="35" xfId="44" applyFont="1" applyFill="1" applyBorder="1" applyAlignment="1">
      <alignment horizontal="right" vertical="center"/>
    </xf>
    <xf numFmtId="0" fontId="55" fillId="0" borderId="36" xfId="44" applyFont="1" applyFill="1" applyBorder="1" applyAlignment="1">
      <alignment horizontal="right" vertical="center"/>
    </xf>
    <xf numFmtId="0" fontId="55" fillId="0" borderId="39" xfId="44" applyFont="1" applyFill="1" applyBorder="1" applyAlignment="1">
      <alignment horizontal="right" vertical="center"/>
    </xf>
    <xf numFmtId="0" fontId="69" fillId="0" borderId="41" xfId="0" applyFont="1" applyBorder="1" applyAlignment="1">
      <alignment horizontal="center" vertical="center"/>
    </xf>
    <xf numFmtId="0" fontId="69" fillId="0" borderId="42" xfId="0" applyFont="1" applyBorder="1" applyAlignment="1">
      <alignment horizontal="center" vertical="center"/>
    </xf>
    <xf numFmtId="0" fontId="69" fillId="0" borderId="43" xfId="0" applyFont="1" applyBorder="1" applyAlignment="1">
      <alignment horizontal="center" vertical="center"/>
    </xf>
    <xf numFmtId="0" fontId="53" fillId="49" borderId="31" xfId="0" applyFont="1" applyFill="1" applyBorder="1" applyAlignment="1">
      <alignment horizontal="center" vertical="center"/>
    </xf>
    <xf numFmtId="0" fontId="53" fillId="49" borderId="32" xfId="0" applyFont="1" applyFill="1" applyBorder="1" applyAlignment="1">
      <alignment horizontal="center" vertical="center"/>
    </xf>
    <xf numFmtId="0" fontId="53" fillId="49" borderId="33" xfId="0" applyFont="1" applyFill="1" applyBorder="1" applyAlignment="1">
      <alignment horizontal="center" vertical="center"/>
    </xf>
    <xf numFmtId="0" fontId="53" fillId="55" borderId="60" xfId="0" applyFont="1" applyFill="1" applyBorder="1" applyAlignment="1">
      <alignment horizontal="left" vertical="center" wrapText="1"/>
    </xf>
    <xf numFmtId="0" fontId="53" fillId="55" borderId="61" xfId="0" applyFont="1" applyFill="1" applyBorder="1" applyAlignment="1">
      <alignment horizontal="left" vertical="center" wrapText="1"/>
    </xf>
    <xf numFmtId="175" fontId="53" fillId="55" borderId="77" xfId="0" applyNumberFormat="1" applyFont="1" applyFill="1" applyBorder="1" applyAlignment="1">
      <alignment horizontal="center"/>
    </xf>
    <xf numFmtId="175" fontId="53" fillId="55" borderId="58" xfId="0" applyNumberFormat="1" applyFont="1" applyFill="1" applyBorder="1" applyAlignment="1">
      <alignment horizontal="center"/>
    </xf>
    <xf numFmtId="175" fontId="53" fillId="55" borderId="78" xfId="0" applyNumberFormat="1" applyFont="1" applyFill="1" applyBorder="1" applyAlignment="1">
      <alignment horizontal="center"/>
    </xf>
    <xf numFmtId="0" fontId="53" fillId="55" borderId="60" xfId="0" applyFont="1" applyFill="1" applyBorder="1" applyAlignment="1">
      <alignment horizontal="center" vertical="center"/>
    </xf>
    <xf numFmtId="0" fontId="53" fillId="55" borderId="61" xfId="0" applyFont="1" applyFill="1" applyBorder="1" applyAlignment="1">
      <alignment horizontal="center" vertical="center"/>
    </xf>
    <xf numFmtId="0" fontId="53" fillId="49" borderId="19" xfId="0" applyFont="1" applyFill="1" applyBorder="1" applyAlignment="1">
      <alignment horizontal="left" vertical="center" wrapText="1"/>
    </xf>
    <xf numFmtId="0" fontId="53" fillId="49" borderId="34" xfId="0" applyFont="1" applyFill="1" applyBorder="1" applyAlignment="1">
      <alignment horizontal="left" vertical="center" wrapText="1"/>
    </xf>
    <xf numFmtId="0" fontId="53" fillId="49" borderId="23" xfId="90" applyFont="1" applyFill="1" applyBorder="1" applyAlignment="1" applyProtection="1">
      <alignment horizontal="left" vertical="center"/>
    </xf>
    <xf numFmtId="0" fontId="53" fillId="49" borderId="21" xfId="90" applyFont="1" applyFill="1" applyBorder="1" applyAlignment="1" applyProtection="1">
      <alignment horizontal="left" vertical="center"/>
    </xf>
    <xf numFmtId="0" fontId="53" fillId="49" borderId="76" xfId="90" applyFont="1" applyFill="1" applyBorder="1" applyAlignment="1" applyProtection="1">
      <alignment horizontal="left" vertical="center"/>
    </xf>
    <xf numFmtId="0" fontId="53" fillId="55" borderId="60" xfId="0" applyFont="1" applyFill="1" applyBorder="1" applyAlignment="1">
      <alignment horizontal="left"/>
    </xf>
    <xf numFmtId="0" fontId="53" fillId="55" borderId="61" xfId="0" applyFont="1" applyFill="1" applyBorder="1" applyAlignment="1">
      <alignment horizontal="left"/>
    </xf>
    <xf numFmtId="0" fontId="57" fillId="55" borderId="65" xfId="0" applyFont="1" applyFill="1" applyBorder="1" applyAlignment="1">
      <alignment horizontal="left"/>
    </xf>
    <xf numFmtId="0" fontId="57" fillId="55" borderId="68" xfId="0" applyFont="1" applyFill="1" applyBorder="1" applyAlignment="1">
      <alignment horizontal="left"/>
    </xf>
    <xf numFmtId="0" fontId="57" fillId="55" borderId="69" xfId="0" applyFont="1" applyFill="1" applyBorder="1" applyAlignment="1">
      <alignment horizontal="left"/>
    </xf>
    <xf numFmtId="0" fontId="57" fillId="55" borderId="75" xfId="0" applyFont="1" applyFill="1" applyBorder="1" applyAlignment="1">
      <alignment horizontal="left"/>
    </xf>
    <xf numFmtId="0" fontId="59" fillId="55" borderId="65" xfId="0" applyFont="1" applyFill="1" applyBorder="1" applyAlignment="1">
      <alignment horizontal="left"/>
    </xf>
    <xf numFmtId="0" fontId="59" fillId="55" borderId="68" xfId="0" applyFont="1" applyFill="1" applyBorder="1" applyAlignment="1">
      <alignment horizontal="left"/>
    </xf>
    <xf numFmtId="0" fontId="59" fillId="55" borderId="69" xfId="0" applyFont="1" applyFill="1" applyBorder="1" applyAlignment="1">
      <alignment horizontal="left"/>
    </xf>
    <xf numFmtId="0" fontId="59" fillId="55" borderId="75" xfId="0" applyFont="1" applyFill="1" applyBorder="1" applyAlignment="1">
      <alignment horizontal="left"/>
    </xf>
    <xf numFmtId="0" fontId="57" fillId="55" borderId="124" xfId="0" applyFont="1" applyFill="1" applyBorder="1" applyAlignment="1">
      <alignment horizontal="left"/>
    </xf>
    <xf numFmtId="0" fontId="57" fillId="55" borderId="125" xfId="0" applyFont="1" applyFill="1" applyBorder="1" applyAlignment="1">
      <alignment horizontal="left"/>
    </xf>
    <xf numFmtId="0" fontId="53" fillId="55" borderId="126" xfId="0" applyFont="1" applyFill="1" applyBorder="1" applyAlignment="1">
      <alignment horizontal="left" vertical="center" wrapText="1"/>
    </xf>
    <xf numFmtId="0" fontId="53" fillId="55" borderId="127" xfId="0" applyFont="1" applyFill="1" applyBorder="1" applyAlignment="1">
      <alignment horizontal="left" vertical="center" wrapText="1"/>
    </xf>
    <xf numFmtId="0" fontId="53" fillId="55" borderId="69" xfId="0" applyFont="1" applyFill="1" applyBorder="1" applyAlignment="1">
      <alignment horizontal="left" vertical="center" wrapText="1"/>
    </xf>
    <xf numFmtId="0" fontId="53" fillId="55" borderId="75" xfId="0" applyFont="1" applyFill="1" applyBorder="1" applyAlignment="1">
      <alignment horizontal="left" vertical="center" wrapText="1"/>
    </xf>
    <xf numFmtId="0" fontId="53" fillId="55" borderId="118" xfId="0" applyFont="1" applyFill="1" applyBorder="1" applyAlignment="1">
      <alignment horizontal="left" vertical="center" wrapText="1"/>
    </xf>
    <xf numFmtId="0" fontId="53" fillId="55" borderId="119" xfId="0" applyFont="1" applyFill="1" applyBorder="1" applyAlignment="1">
      <alignment horizontal="left" vertical="center" wrapText="1"/>
    </xf>
    <xf numFmtId="0" fontId="57" fillId="55" borderId="20" xfId="0" applyFont="1" applyFill="1" applyBorder="1" applyAlignment="1">
      <alignment horizontal="left"/>
    </xf>
    <xf numFmtId="0" fontId="57" fillId="55" borderId="24" xfId="0" applyFont="1" applyFill="1" applyBorder="1" applyAlignment="1">
      <alignment horizontal="left"/>
    </xf>
    <xf numFmtId="0" fontId="57" fillId="63" borderId="65" xfId="0" applyFont="1" applyFill="1" applyBorder="1" applyAlignment="1">
      <alignment horizontal="left"/>
    </xf>
    <xf numFmtId="0" fontId="57" fillId="63" borderId="68" xfId="0" applyFont="1" applyFill="1" applyBorder="1" applyAlignment="1">
      <alignment horizontal="left"/>
    </xf>
    <xf numFmtId="0" fontId="52" fillId="61" borderId="30" xfId="0" applyFont="1" applyFill="1" applyBorder="1" applyAlignment="1" applyProtection="1">
      <alignment horizontal="center" vertical="center" wrapText="1"/>
      <protection locked="0"/>
    </xf>
    <xf numFmtId="0" fontId="52" fillId="61" borderId="56" xfId="0" applyFont="1" applyFill="1" applyBorder="1" applyAlignment="1" applyProtection="1">
      <alignment horizontal="center" vertical="center" wrapText="1"/>
      <protection locked="0"/>
    </xf>
    <xf numFmtId="0" fontId="52" fillId="61" borderId="71" xfId="0" applyFont="1" applyFill="1" applyBorder="1" applyAlignment="1" applyProtection="1">
      <alignment horizontal="center" vertical="center" wrapText="1"/>
      <protection locked="0"/>
    </xf>
    <xf numFmtId="0" fontId="47" fillId="57" borderId="47" xfId="0" applyFont="1" applyFill="1" applyBorder="1" applyAlignment="1">
      <alignment horizontal="center" vertical="center" wrapText="1"/>
    </xf>
    <xf numFmtId="0" fontId="47" fillId="57" borderId="19" xfId="0" applyFont="1" applyFill="1" applyBorder="1" applyAlignment="1">
      <alignment horizontal="center" vertical="center" wrapText="1"/>
    </xf>
    <xf numFmtId="0" fontId="47" fillId="57" borderId="30" xfId="0" applyFont="1" applyFill="1" applyBorder="1" applyAlignment="1">
      <alignment horizontal="center" vertical="center" wrapText="1"/>
    </xf>
    <xf numFmtId="0" fontId="52" fillId="52" borderId="19" xfId="0" applyFont="1" applyFill="1" applyBorder="1" applyAlignment="1" applyProtection="1">
      <alignment horizontal="center" vertical="center" wrapText="1"/>
      <protection locked="0"/>
    </xf>
    <xf numFmtId="0" fontId="47" fillId="57" borderId="46" xfId="0" applyFont="1" applyFill="1" applyBorder="1" applyAlignment="1">
      <alignment horizontal="center" vertical="center"/>
    </xf>
    <xf numFmtId="0" fontId="47" fillId="57" borderId="53" xfId="0" applyFont="1" applyFill="1" applyBorder="1" applyAlignment="1">
      <alignment horizontal="center" vertical="center"/>
    </xf>
    <xf numFmtId="0" fontId="47" fillId="57" borderId="92" xfId="0" applyFont="1" applyFill="1" applyBorder="1" applyAlignment="1">
      <alignment horizontal="center" vertical="center"/>
    </xf>
    <xf numFmtId="0" fontId="47" fillId="57" borderId="47" xfId="0" applyFont="1" applyFill="1" applyBorder="1" applyAlignment="1">
      <alignment horizontal="center" vertical="center"/>
    </xf>
    <xf numFmtId="0" fontId="47" fillId="57" borderId="19" xfId="0" applyFont="1" applyFill="1" applyBorder="1" applyAlignment="1">
      <alignment horizontal="center" vertical="center"/>
    </xf>
    <xf numFmtId="0" fontId="47" fillId="57" borderId="30" xfId="0" applyFont="1" applyFill="1" applyBorder="1" applyAlignment="1">
      <alignment horizontal="center" vertical="center"/>
    </xf>
    <xf numFmtId="0" fontId="19" fillId="47" borderId="97" xfId="0" applyFont="1" applyFill="1" applyBorder="1" applyAlignment="1">
      <alignment horizontal="center" vertical="center"/>
    </xf>
    <xf numFmtId="0" fontId="36" fillId="47" borderId="97" xfId="0" applyFont="1" applyFill="1" applyBorder="1" applyAlignment="1">
      <alignment horizontal="center" vertical="center"/>
    </xf>
    <xf numFmtId="0" fontId="47" fillId="57" borderId="91" xfId="0" applyFont="1" applyFill="1" applyBorder="1" applyAlignment="1">
      <alignment horizontal="center" vertical="center" wrapText="1"/>
    </xf>
    <xf numFmtId="0" fontId="47" fillId="57" borderId="71" xfId="0" applyFont="1" applyFill="1" applyBorder="1" applyAlignment="1">
      <alignment horizontal="center" vertical="center" wrapText="1"/>
    </xf>
    <xf numFmtId="0" fontId="47" fillId="57" borderId="52" xfId="0" applyFont="1" applyFill="1" applyBorder="1" applyAlignment="1">
      <alignment horizontal="center" vertical="center"/>
    </xf>
    <xf numFmtId="0" fontId="47" fillId="57" borderId="34" xfId="0" applyFont="1" applyFill="1" applyBorder="1" applyAlignment="1">
      <alignment horizontal="center" vertical="center"/>
    </xf>
    <xf numFmtId="0" fontId="47" fillId="57" borderId="128" xfId="0" applyFont="1" applyFill="1" applyBorder="1" applyAlignment="1">
      <alignment horizontal="center" vertical="center"/>
    </xf>
    <xf numFmtId="0" fontId="47" fillId="57" borderId="49" xfId="0" applyFont="1" applyFill="1" applyBorder="1" applyAlignment="1">
      <alignment horizontal="center" vertical="center"/>
    </xf>
    <xf numFmtId="0" fontId="47" fillId="57" borderId="50" xfId="0" applyFont="1" applyFill="1" applyBorder="1" applyAlignment="1">
      <alignment horizontal="center" vertical="center"/>
    </xf>
    <xf numFmtId="0" fontId="47" fillId="57" borderId="99" xfId="0" applyFont="1" applyFill="1" applyBorder="1" applyAlignment="1">
      <alignment horizontal="center" vertical="center"/>
    </xf>
    <xf numFmtId="0" fontId="41" fillId="47" borderId="129" xfId="178" applyFont="1" applyFill="1" applyBorder="1" applyAlignment="1">
      <alignment horizontal="center" vertical="center" wrapText="1"/>
    </xf>
    <xf numFmtId="0" fontId="41" fillId="47" borderId="130" xfId="178" applyFont="1" applyFill="1" applyBorder="1" applyAlignment="1">
      <alignment horizontal="center" vertical="center" wrapText="1"/>
    </xf>
    <xf numFmtId="0" fontId="43" fillId="0" borderId="129" xfId="173" applyFont="1" applyBorder="1" applyAlignment="1">
      <alignment horizontal="left" vertical="center" wrapText="1"/>
    </xf>
    <xf numFmtId="0" fontId="43" fillId="0" borderId="130" xfId="173" applyFont="1" applyBorder="1" applyAlignment="1">
      <alignment horizontal="left" vertical="center" wrapText="1"/>
    </xf>
    <xf numFmtId="0" fontId="43" fillId="0" borderId="131" xfId="173" applyFont="1" applyBorder="1" applyAlignment="1">
      <alignment horizontal="left" vertical="center" wrapText="1"/>
    </xf>
    <xf numFmtId="0" fontId="42" fillId="58" borderId="19" xfId="0" applyFont="1" applyFill="1" applyBorder="1" applyAlignment="1">
      <alignment horizontal="center"/>
    </xf>
    <xf numFmtId="0" fontId="65" fillId="48" borderId="27" xfId="0" applyFont="1" applyFill="1" applyBorder="1" applyAlignment="1">
      <alignment horizontal="left"/>
    </xf>
    <xf numFmtId="0" fontId="65" fillId="48" borderId="28" xfId="0" applyFont="1" applyFill="1" applyBorder="1" applyAlignment="1">
      <alignment horizontal="left"/>
    </xf>
    <xf numFmtId="0" fontId="65" fillId="48" borderId="38" xfId="0" applyFont="1" applyFill="1" applyBorder="1" applyAlignment="1">
      <alignment horizontal="left"/>
    </xf>
    <xf numFmtId="0" fontId="65" fillId="48" borderId="27" xfId="0" applyFont="1" applyFill="1" applyBorder="1" applyAlignment="1">
      <alignment horizontal="left" vertical="center" wrapText="1"/>
    </xf>
    <xf numFmtId="0" fontId="65" fillId="48" borderId="28" xfId="0" applyFont="1" applyFill="1" applyBorder="1" applyAlignment="1">
      <alignment horizontal="left" vertical="center" wrapText="1"/>
    </xf>
    <xf numFmtId="0" fontId="65" fillId="48" borderId="38" xfId="0" applyFont="1" applyFill="1" applyBorder="1" applyAlignment="1">
      <alignment horizontal="left" vertical="center" wrapText="1"/>
    </xf>
    <xf numFmtId="0" fontId="43" fillId="0" borderId="129" xfId="172" applyFont="1" applyBorder="1" applyAlignment="1">
      <alignment horizontal="center" vertical="center" wrapText="1"/>
    </xf>
    <xf numFmtId="0" fontId="43" fillId="0" borderId="130" xfId="172" applyFont="1" applyBorder="1" applyAlignment="1">
      <alignment horizontal="center" vertical="center" wrapText="1"/>
    </xf>
    <xf numFmtId="0" fontId="43" fillId="0" borderId="131" xfId="172" applyFont="1" applyBorder="1" applyAlignment="1">
      <alignment horizontal="center" vertical="center" wrapText="1"/>
    </xf>
    <xf numFmtId="0" fontId="41" fillId="0" borderId="132" xfId="174" applyFont="1" applyBorder="1" applyAlignment="1">
      <alignment horizontal="center" vertical="center" wrapText="1"/>
    </xf>
    <xf numFmtId="0" fontId="41" fillId="0" borderId="133" xfId="174" applyFont="1" applyBorder="1" applyAlignment="1">
      <alignment horizontal="center" vertical="center" wrapText="1"/>
    </xf>
    <xf numFmtId="0" fontId="41" fillId="0" borderId="134" xfId="174" applyFont="1" applyBorder="1" applyAlignment="1">
      <alignment horizontal="center" vertical="center" wrapText="1"/>
    </xf>
    <xf numFmtId="0" fontId="41" fillId="0" borderId="135" xfId="174" applyFont="1" applyBorder="1" applyAlignment="1">
      <alignment horizontal="center" vertical="center"/>
    </xf>
    <xf numFmtId="0" fontId="41" fillId="0" borderId="136" xfId="174" applyFont="1" applyBorder="1" applyAlignment="1">
      <alignment horizontal="center" vertical="center"/>
    </xf>
    <xf numFmtId="0" fontId="41" fillId="0" borderId="137" xfId="174" applyFont="1" applyBorder="1" applyAlignment="1">
      <alignment horizontal="center" vertical="center"/>
    </xf>
    <xf numFmtId="0" fontId="46" fillId="47" borderId="0" xfId="173" applyFont="1" applyFill="1" applyAlignment="1">
      <alignment horizontal="center" vertical="top"/>
    </xf>
    <xf numFmtId="0" fontId="42" fillId="58" borderId="23" xfId="0" applyFont="1" applyFill="1" applyBorder="1" applyAlignment="1">
      <alignment horizontal="center"/>
    </xf>
    <xf numFmtId="0" fontId="42" fillId="58" borderId="21" xfId="0" applyFont="1" applyFill="1" applyBorder="1" applyAlignment="1">
      <alignment horizontal="center"/>
    </xf>
    <xf numFmtId="0" fontId="42" fillId="58" borderId="29" xfId="0" applyFont="1" applyFill="1" applyBorder="1" applyAlignment="1">
      <alignment horizontal="center"/>
    </xf>
    <xf numFmtId="0" fontId="92" fillId="0" borderId="19" xfId="90" applyFont="1" applyBorder="1" applyAlignment="1" applyProtection="1">
      <alignment horizontal="center" vertical="center" wrapText="1"/>
      <protection hidden="1"/>
    </xf>
    <xf numFmtId="49" fontId="16" fillId="71" borderId="23" xfId="90" applyNumberFormat="1" applyFill="1" applyBorder="1" applyAlignment="1" applyProtection="1">
      <alignment horizontal="left" vertical="top" wrapText="1"/>
      <protection locked="0"/>
    </xf>
    <xf numFmtId="49" fontId="16" fillId="71" borderId="21" xfId="90" applyNumberFormat="1" applyFill="1" applyBorder="1" applyAlignment="1" applyProtection="1">
      <alignment horizontal="left" vertical="top" wrapText="1"/>
      <protection locked="0"/>
    </xf>
    <xf numFmtId="49" fontId="16" fillId="71" borderId="29" xfId="90" applyNumberFormat="1" applyFill="1" applyBorder="1" applyAlignment="1" applyProtection="1">
      <alignment horizontal="left" vertical="top" wrapText="1"/>
      <protection locked="0"/>
    </xf>
    <xf numFmtId="0" fontId="66" fillId="0" borderId="22" xfId="179" applyFont="1" applyBorder="1" applyAlignment="1">
      <alignment horizontal="left" vertical="top"/>
    </xf>
    <xf numFmtId="0" fontId="66" fillId="0" borderId="26" xfId="179" applyFont="1" applyBorder="1" applyAlignment="1">
      <alignment horizontal="left" vertical="top"/>
    </xf>
    <xf numFmtId="0" fontId="66" fillId="0" borderId="25" xfId="179" applyFont="1" applyBorder="1" applyAlignment="1">
      <alignment horizontal="left" vertical="top"/>
    </xf>
    <xf numFmtId="0" fontId="66" fillId="0" borderId="20" xfId="179" applyFont="1" applyBorder="1" applyAlignment="1">
      <alignment horizontal="left" vertical="top"/>
    </xf>
    <xf numFmtId="0" fontId="66" fillId="0" borderId="0" xfId="179" applyFont="1" applyBorder="1" applyAlignment="1">
      <alignment horizontal="left" vertical="top"/>
    </xf>
    <xf numFmtId="0" fontId="66" fillId="0" borderId="24" xfId="179" applyFont="1" applyBorder="1" applyAlignment="1">
      <alignment horizontal="left" vertical="top"/>
    </xf>
    <xf numFmtId="0" fontId="82" fillId="0" borderId="19" xfId="90" applyFont="1" applyBorder="1" applyAlignment="1">
      <alignment horizontal="left" wrapText="1"/>
    </xf>
    <xf numFmtId="10" fontId="82" fillId="71" borderId="19" xfId="90" applyNumberFormat="1" applyFont="1" applyFill="1" applyBorder="1" applyAlignment="1" applyProtection="1">
      <alignment horizontal="center"/>
      <protection locked="0"/>
    </xf>
    <xf numFmtId="0" fontId="16" fillId="0" borderId="19" xfId="90" applyBorder="1" applyAlignment="1">
      <alignment horizontal="left" vertical="center" wrapText="1"/>
    </xf>
    <xf numFmtId="0" fontId="85" fillId="0" borderId="22" xfId="90" applyFont="1" applyBorder="1" applyAlignment="1">
      <alignment horizontal="left" vertical="center" wrapText="1"/>
    </xf>
    <xf numFmtId="0" fontId="85" fillId="0" borderId="25" xfId="90" applyFont="1" applyBorder="1" applyAlignment="1">
      <alignment horizontal="left" vertical="center" wrapText="1"/>
    </xf>
    <xf numFmtId="188" fontId="16" fillId="0" borderId="27" xfId="90" applyNumberFormat="1" applyBorder="1" applyAlignment="1" applyProtection="1">
      <alignment horizontal="left"/>
      <protection locked="0"/>
    </xf>
    <xf numFmtId="188" fontId="16" fillId="0" borderId="28" xfId="90" applyNumberFormat="1" applyBorder="1" applyAlignment="1" applyProtection="1">
      <alignment horizontal="left"/>
      <protection locked="0"/>
    </xf>
    <xf numFmtId="188" fontId="16" fillId="0" borderId="38" xfId="90" applyNumberFormat="1" applyBorder="1" applyAlignment="1" applyProtection="1">
      <alignment horizontal="left"/>
      <protection locked="0"/>
    </xf>
    <xf numFmtId="0" fontId="66" fillId="0" borderId="20" xfId="90" applyFont="1" applyBorder="1" applyAlignment="1">
      <alignment horizontal="left" vertical="center"/>
    </xf>
    <xf numFmtId="0" fontId="66" fillId="0" borderId="0" xfId="90" applyFont="1" applyBorder="1" applyAlignment="1">
      <alignment horizontal="left" vertical="center"/>
    </xf>
    <xf numFmtId="0" fontId="83" fillId="0" borderId="19" xfId="90" applyFont="1" applyBorder="1" applyAlignment="1">
      <alignment horizontal="center" vertical="center"/>
    </xf>
    <xf numFmtId="4" fontId="83" fillId="0" borderId="19" xfId="90" applyNumberFormat="1" applyFont="1" applyBorder="1" applyAlignment="1">
      <alignment horizontal="center" vertical="center" wrapText="1"/>
    </xf>
    <xf numFmtId="0" fontId="66" fillId="0" borderId="19" xfId="90" applyFont="1" applyBorder="1" applyAlignment="1">
      <alignment horizontal="center" vertical="center"/>
    </xf>
    <xf numFmtId="0" fontId="88" fillId="0" borderId="0" xfId="90" applyFont="1" applyBorder="1" applyAlignment="1">
      <alignment horizontal="left" vertical="center" indent="1"/>
    </xf>
    <xf numFmtId="0" fontId="88" fillId="0" borderId="24" xfId="90" applyFont="1" applyBorder="1" applyAlignment="1">
      <alignment horizontal="left" vertical="center" indent="1"/>
    </xf>
    <xf numFmtId="0" fontId="16" fillId="0" borderId="20" xfId="90" applyBorder="1" applyAlignment="1">
      <alignment horizontal="center" vertical="center"/>
    </xf>
    <xf numFmtId="0" fontId="16" fillId="0" borderId="0" xfId="90" applyBorder="1" applyAlignment="1">
      <alignment horizontal="center" vertical="center"/>
    </xf>
    <xf numFmtId="0" fontId="16" fillId="0" borderId="24" xfId="90" applyBorder="1" applyAlignment="1">
      <alignment horizontal="center" vertical="center"/>
    </xf>
    <xf numFmtId="0" fontId="89" fillId="0" borderId="0" xfId="0" applyFont="1" applyBorder="1" applyAlignment="1" applyProtection="1">
      <alignment horizontal="right" vertical="center"/>
      <protection hidden="1"/>
    </xf>
    <xf numFmtId="2" fontId="86" fillId="0" borderId="25" xfId="90" applyNumberFormat="1" applyFont="1" applyBorder="1" applyAlignment="1" applyProtection="1">
      <alignment horizontal="center" vertical="center"/>
      <protection hidden="1"/>
    </xf>
    <xf numFmtId="2" fontId="86" fillId="0" borderId="26" xfId="90" applyNumberFormat="1" applyFont="1" applyBorder="1" applyAlignment="1" applyProtection="1">
      <alignment horizontal="center" vertical="center"/>
      <protection hidden="1"/>
    </xf>
    <xf numFmtId="0" fontId="89" fillId="0" borderId="0" xfId="0" applyFont="1" applyBorder="1" applyAlignment="1" applyProtection="1">
      <alignment horizontal="center" vertical="top"/>
      <protection hidden="1"/>
    </xf>
    <xf numFmtId="0" fontId="90" fillId="0" borderId="0" xfId="0" applyFont="1" applyBorder="1" applyAlignment="1" applyProtection="1">
      <alignment horizontal="center"/>
      <protection hidden="1"/>
    </xf>
    <xf numFmtId="0" fontId="89" fillId="0" borderId="0" xfId="0" quotePrefix="1" applyFont="1" applyBorder="1" applyAlignment="1" applyProtection="1">
      <alignment horizontal="left" vertical="center"/>
      <protection hidden="1"/>
    </xf>
    <xf numFmtId="0" fontId="89" fillId="0" borderId="0" xfId="0" applyFont="1" applyBorder="1" applyAlignment="1" applyProtection="1">
      <alignment horizontal="left" vertical="center"/>
      <protection hidden="1"/>
    </xf>
    <xf numFmtId="0" fontId="16" fillId="71" borderId="27" xfId="90" applyFill="1" applyBorder="1" applyAlignment="1" applyProtection="1">
      <alignment horizontal="left" vertical="top" wrapText="1"/>
      <protection locked="0"/>
    </xf>
    <xf numFmtId="0" fontId="16" fillId="71" borderId="38" xfId="90" applyFill="1" applyBorder="1" applyAlignment="1" applyProtection="1">
      <alignment horizontal="left" vertical="top" wrapText="1"/>
      <protection locked="0"/>
    </xf>
    <xf numFmtId="49" fontId="16" fillId="71" borderId="27" xfId="90" applyNumberFormat="1" applyFill="1" applyBorder="1" applyAlignment="1" applyProtection="1">
      <alignment horizontal="left" vertical="top" wrapText="1"/>
      <protection locked="0"/>
    </xf>
    <xf numFmtId="0" fontId="16" fillId="71" borderId="28" xfId="90" applyFill="1" applyBorder="1" applyAlignment="1" applyProtection="1">
      <alignment horizontal="left" vertical="top" wrapText="1"/>
      <protection locked="0"/>
    </xf>
    <xf numFmtId="0" fontId="82" fillId="71" borderId="56" xfId="180" applyNumberFormat="1" applyFont="1" applyFill="1" applyBorder="1" applyAlignment="1" applyProtection="1">
      <alignment horizontal="left" wrapText="1"/>
      <protection locked="0"/>
    </xf>
    <xf numFmtId="173" fontId="82" fillId="71" borderId="27" xfId="180" applyFont="1" applyFill="1" applyBorder="1" applyAlignment="1" applyProtection="1">
      <alignment horizontal="left"/>
      <protection locked="0"/>
    </xf>
    <xf numFmtId="173" fontId="82" fillId="71" borderId="28" xfId="180" applyFont="1" applyFill="1" applyBorder="1" applyAlignment="1" applyProtection="1">
      <alignment horizontal="left"/>
      <protection locked="0"/>
    </xf>
    <xf numFmtId="10" fontId="82" fillId="71" borderId="27" xfId="90" applyNumberFormat="1" applyFont="1" applyFill="1" applyBorder="1" applyAlignment="1" applyProtection="1">
      <alignment horizontal="center"/>
      <protection locked="0"/>
    </xf>
    <xf numFmtId="10" fontId="82" fillId="71" borderId="38" xfId="90" applyNumberFormat="1" applyFont="1" applyFill="1" applyBorder="1" applyAlignment="1" applyProtection="1">
      <alignment horizontal="center"/>
      <protection locked="0"/>
    </xf>
    <xf numFmtId="0" fontId="82" fillId="0" borderId="19" xfId="90" applyFont="1" applyBorder="1" applyAlignment="1">
      <alignment horizontal="left"/>
    </xf>
    <xf numFmtId="0" fontId="16" fillId="0" borderId="19" xfId="90" applyBorder="1" applyAlignment="1">
      <alignment horizontal="left" vertical="center"/>
    </xf>
  </cellXfs>
  <cellStyles count="181">
    <cellStyle name="20% - Ênfase1" xfId="15" builtinId="30" customBuiltin="1"/>
    <cellStyle name="20% - Ênfase1 2" xfId="38" xr:uid="{00000000-0005-0000-0000-000001000000}"/>
    <cellStyle name="20% - Ênfase2" xfId="19" builtinId="34" customBuiltin="1"/>
    <cellStyle name="20% - Ênfase2 2" xfId="39" xr:uid="{00000000-0005-0000-0000-000003000000}"/>
    <cellStyle name="20% - Ênfase3" xfId="23" builtinId="38" customBuiltin="1"/>
    <cellStyle name="20% - Ênfase3 2" xfId="41" xr:uid="{00000000-0005-0000-0000-000005000000}"/>
    <cellStyle name="20% - Ênfase4" xfId="27" builtinId="42" customBuiltin="1"/>
    <cellStyle name="20% - Ênfase4 2" xfId="43" xr:uid="{00000000-0005-0000-0000-000007000000}"/>
    <cellStyle name="20% - Ênfase5" xfId="31" builtinId="46" customBuiltin="1"/>
    <cellStyle name="20% - Ênfase5 2" xfId="45" xr:uid="{00000000-0005-0000-0000-000009000000}"/>
    <cellStyle name="20% - Ênfase6" xfId="35" builtinId="50" customBuiltin="1"/>
    <cellStyle name="20% - Ênfase6 2" xfId="46" xr:uid="{00000000-0005-0000-0000-00000B000000}"/>
    <cellStyle name="40% - Ênfase1" xfId="16" builtinId="31" customBuiltin="1"/>
    <cellStyle name="40% - Ênfase1 2" xfId="48" xr:uid="{00000000-0005-0000-0000-00000D000000}"/>
    <cellStyle name="40% - Ênfase2" xfId="20" builtinId="35" customBuiltin="1"/>
    <cellStyle name="40% - Ênfase2 2" xfId="49" xr:uid="{00000000-0005-0000-0000-00000F000000}"/>
    <cellStyle name="40% - Ênfase3" xfId="24" builtinId="39" customBuiltin="1"/>
    <cellStyle name="40% - Ênfase3 2" xfId="50" xr:uid="{00000000-0005-0000-0000-000011000000}"/>
    <cellStyle name="40% - Ênfase4" xfId="28" builtinId="43" customBuiltin="1"/>
    <cellStyle name="40% - Ênfase4 2" xfId="52" xr:uid="{00000000-0005-0000-0000-000013000000}"/>
    <cellStyle name="40% - Ênfase5" xfId="32" builtinId="47" customBuiltin="1"/>
    <cellStyle name="40% - Ênfase5 2" xfId="54" xr:uid="{00000000-0005-0000-0000-000015000000}"/>
    <cellStyle name="40% - Ênfase6" xfId="36" builtinId="51" customBuiltin="1"/>
    <cellStyle name="40% - Ênfase6 2" xfId="55" xr:uid="{00000000-0005-0000-0000-000017000000}"/>
    <cellStyle name="60% - Ênfase1" xfId="17" builtinId="32" customBuiltin="1"/>
    <cellStyle name="60% - Ênfase1 2" xfId="56" xr:uid="{00000000-0005-0000-0000-000019000000}"/>
    <cellStyle name="60% - Ênfase2" xfId="21" builtinId="36" customBuiltin="1"/>
    <cellStyle name="60% - Ênfase2 2" xfId="57" xr:uid="{00000000-0005-0000-0000-00001B000000}"/>
    <cellStyle name="60% - Ênfase3" xfId="25" builtinId="40" customBuiltin="1"/>
    <cellStyle name="60% - Ênfase3 2" xfId="58" xr:uid="{00000000-0005-0000-0000-00001D000000}"/>
    <cellStyle name="60% - Ênfase4" xfId="29" builtinId="44" customBuiltin="1"/>
    <cellStyle name="60% - Ênfase4 2" xfId="59" xr:uid="{00000000-0005-0000-0000-00001F000000}"/>
    <cellStyle name="60% - Ênfase5" xfId="33" builtinId="48" customBuiltin="1"/>
    <cellStyle name="60% - Ênfase5 2" xfId="60" xr:uid="{00000000-0005-0000-0000-000021000000}"/>
    <cellStyle name="60% - Ênfase6" xfId="37" builtinId="52" customBuiltin="1"/>
    <cellStyle name="60% - Ênfase6 2" xfId="61" xr:uid="{00000000-0005-0000-0000-000023000000}"/>
    <cellStyle name="Bom" xfId="5" builtinId="26" customBuiltin="1"/>
    <cellStyle name="Bom 2" xfId="62" xr:uid="{00000000-0005-0000-0000-000025000000}"/>
    <cellStyle name="Cálculo" xfId="8" builtinId="22" customBuiltin="1"/>
    <cellStyle name="Cálculo 2" xfId="63" xr:uid="{00000000-0005-0000-0000-000027000000}"/>
    <cellStyle name="Célula de Verificação" xfId="10" builtinId="23" customBuiltin="1"/>
    <cellStyle name="Célula de Verificação 2" xfId="64" xr:uid="{00000000-0005-0000-0000-000029000000}"/>
    <cellStyle name="Célula Vinculada" xfId="9" builtinId="24" customBuiltin="1"/>
    <cellStyle name="Célula Vinculada 2" xfId="65" xr:uid="{00000000-0005-0000-0000-00002B000000}"/>
    <cellStyle name="Data" xfId="66" xr:uid="{00000000-0005-0000-0000-00002C000000}"/>
    <cellStyle name="Ênfase1" xfId="14" builtinId="29" customBuiltin="1"/>
    <cellStyle name="Ênfase1 2" xfId="67" xr:uid="{00000000-0005-0000-0000-00002E000000}"/>
    <cellStyle name="Ênfase2" xfId="18" builtinId="33" customBuiltin="1"/>
    <cellStyle name="Ênfase2 2" xfId="68" xr:uid="{00000000-0005-0000-0000-000030000000}"/>
    <cellStyle name="Ênfase3" xfId="22" builtinId="37" customBuiltin="1"/>
    <cellStyle name="Ênfase3 2" xfId="69" xr:uid="{00000000-0005-0000-0000-000032000000}"/>
    <cellStyle name="Ênfase4" xfId="26" builtinId="41" customBuiltin="1"/>
    <cellStyle name="Ênfase4 2" xfId="70" xr:uid="{00000000-0005-0000-0000-000034000000}"/>
    <cellStyle name="Ênfase5" xfId="30" builtinId="45" customBuiltin="1"/>
    <cellStyle name="Ênfase5 2" xfId="71" xr:uid="{00000000-0005-0000-0000-000036000000}"/>
    <cellStyle name="Ênfase6" xfId="34" builtinId="49" customBuiltin="1"/>
    <cellStyle name="Ênfase6 2" xfId="72" xr:uid="{00000000-0005-0000-0000-000038000000}"/>
    <cellStyle name="Entrada" xfId="6" builtinId="20" customBuiltin="1"/>
    <cellStyle name="Entrada 2" xfId="73" xr:uid="{00000000-0005-0000-0000-00003A000000}"/>
    <cellStyle name="Euro" xfId="74" xr:uid="{00000000-0005-0000-0000-00003B000000}"/>
    <cellStyle name="Euro 2" xfId="75" xr:uid="{00000000-0005-0000-0000-00003C000000}"/>
    <cellStyle name="Fixo" xfId="76" xr:uid="{00000000-0005-0000-0000-00003D000000}"/>
    <cellStyle name="Hiperlink 2" xfId="77" xr:uid="{00000000-0005-0000-0000-00003E000000}"/>
    <cellStyle name="Incorreto 2" xfId="78" xr:uid="{00000000-0005-0000-0000-00003F000000}"/>
    <cellStyle name="Moeda" xfId="169" builtinId="4"/>
    <cellStyle name="Moeda 2" xfId="80" xr:uid="{00000000-0005-0000-0000-000041000000}"/>
    <cellStyle name="Moeda 2 2" xfId="81" xr:uid="{00000000-0005-0000-0000-000042000000}"/>
    <cellStyle name="Moeda 2 2 2" xfId="166" xr:uid="{00000000-0005-0000-0000-000043000000}"/>
    <cellStyle name="Moeda 2 3" xfId="82" xr:uid="{00000000-0005-0000-0000-000044000000}"/>
    <cellStyle name="Moeda 2 4" xfId="53" xr:uid="{00000000-0005-0000-0000-000045000000}"/>
    <cellStyle name="Moeda 3" xfId="83" xr:uid="{00000000-0005-0000-0000-000046000000}"/>
    <cellStyle name="Moeda 3 2" xfId="51" xr:uid="{00000000-0005-0000-0000-000047000000}"/>
    <cellStyle name="Moeda 3 3" xfId="162" xr:uid="{00000000-0005-0000-0000-000048000000}"/>
    <cellStyle name="Moeda 4" xfId="84" xr:uid="{00000000-0005-0000-0000-000049000000}"/>
    <cellStyle name="Moeda 5" xfId="79" xr:uid="{00000000-0005-0000-0000-00004A000000}"/>
    <cellStyle name="Moeda_Composicao BDI v2.1" xfId="180" xr:uid="{27B836AE-D954-4571-9EB2-B94B45F95D70}"/>
    <cellStyle name="Moeda0" xfId="85" xr:uid="{00000000-0005-0000-0000-00004B000000}"/>
    <cellStyle name="Neutra 2" xfId="86" xr:uid="{00000000-0005-0000-0000-00004C000000}"/>
    <cellStyle name="Normal" xfId="0" builtinId="0"/>
    <cellStyle name="Normal 10" xfId="87" xr:uid="{00000000-0005-0000-0000-00004E000000}"/>
    <cellStyle name="Normal 11" xfId="158" xr:uid="{00000000-0005-0000-0000-00004F000000}"/>
    <cellStyle name="Normal 11 2" xfId="88" xr:uid="{00000000-0005-0000-0000-000050000000}"/>
    <cellStyle name="Normal 12" xfId="171" xr:uid="{00000000-0005-0000-0000-000051000000}"/>
    <cellStyle name="Normal 165" xfId="89" xr:uid="{00000000-0005-0000-0000-000052000000}"/>
    <cellStyle name="Normal 2" xfId="90" xr:uid="{00000000-0005-0000-0000-000053000000}"/>
    <cellStyle name="Normal 2 2" xfId="91" xr:uid="{00000000-0005-0000-0000-000054000000}"/>
    <cellStyle name="Normal 2 2 10" xfId="168" xr:uid="{00000000-0005-0000-0000-000055000000}"/>
    <cellStyle name="Normal 2 2 2" xfId="92" xr:uid="{00000000-0005-0000-0000-000056000000}"/>
    <cellStyle name="Normal 2 3" xfId="93" xr:uid="{00000000-0005-0000-0000-000057000000}"/>
    <cellStyle name="Normal 2 4" xfId="94" xr:uid="{00000000-0005-0000-0000-000058000000}"/>
    <cellStyle name="Normal 3" xfId="95" xr:uid="{00000000-0005-0000-0000-000059000000}"/>
    <cellStyle name="Normal 3 2" xfId="96" xr:uid="{00000000-0005-0000-0000-00005A000000}"/>
    <cellStyle name="Normal 3 2 2 2" xfId="159" xr:uid="{00000000-0005-0000-0000-00005B000000}"/>
    <cellStyle name="Normal 3 2 3" xfId="175" xr:uid="{00000000-0005-0000-0000-00005C000000}"/>
    <cellStyle name="Normal 3 3" xfId="97" xr:uid="{00000000-0005-0000-0000-00005D000000}"/>
    <cellStyle name="Normal 3 4" xfId="47" xr:uid="{00000000-0005-0000-0000-00005E000000}"/>
    <cellStyle name="Normal 3 4 2" xfId="164" xr:uid="{00000000-0005-0000-0000-00005F000000}"/>
    <cellStyle name="Normal 33 2 2 2" xfId="173" xr:uid="{00000000-0005-0000-0000-000060000000}"/>
    <cellStyle name="Normal 34 2" xfId="172" xr:uid="{00000000-0005-0000-0000-000061000000}"/>
    <cellStyle name="Normal 35 2" xfId="174" xr:uid="{00000000-0005-0000-0000-000062000000}"/>
    <cellStyle name="Normal 38" xfId="178" xr:uid="{00000000-0005-0000-0000-000063000000}"/>
    <cellStyle name="Normal 4" xfId="98" xr:uid="{00000000-0005-0000-0000-000064000000}"/>
    <cellStyle name="Normal 5" xfId="99" xr:uid="{00000000-0005-0000-0000-000065000000}"/>
    <cellStyle name="Normal 5 2" xfId="44" xr:uid="{00000000-0005-0000-0000-000066000000}"/>
    <cellStyle name="Normal 6" xfId="100" xr:uid="{00000000-0005-0000-0000-000067000000}"/>
    <cellStyle name="Normal 6 2" xfId="42" xr:uid="{00000000-0005-0000-0000-000068000000}"/>
    <cellStyle name="Normal 6 2 2" xfId="40" xr:uid="{00000000-0005-0000-0000-000069000000}"/>
    <cellStyle name="Normal 7" xfId="101" xr:uid="{00000000-0005-0000-0000-00006A000000}"/>
    <cellStyle name="Normal 8" xfId="102" xr:uid="{00000000-0005-0000-0000-00006B000000}"/>
    <cellStyle name="Normal 8 2" xfId="103" xr:uid="{00000000-0005-0000-0000-00006C000000}"/>
    <cellStyle name="Normal 9" xfId="104" xr:uid="{00000000-0005-0000-0000-00006D000000}"/>
    <cellStyle name="Normal 9 2" xfId="105" xr:uid="{00000000-0005-0000-0000-00006E000000}"/>
    <cellStyle name="Normal_FICHA DE VERIFICAÇÃO PRELIMINAR - Plano R" xfId="179" xr:uid="{F475D512-9929-46EC-A429-B63D41DFC4E2}"/>
    <cellStyle name="Nota 2" xfId="106" xr:uid="{00000000-0005-0000-0000-00006F000000}"/>
    <cellStyle name="Nota 3" xfId="107" xr:uid="{00000000-0005-0000-0000-000070000000}"/>
    <cellStyle name="Porcentagem" xfId="170" builtinId="5"/>
    <cellStyle name="Porcentagem 13 2" xfId="176" xr:uid="{00000000-0005-0000-0000-000072000000}"/>
    <cellStyle name="Porcentagem 2" xfId="109" xr:uid="{00000000-0005-0000-0000-000073000000}"/>
    <cellStyle name="Porcentagem 2 2" xfId="110" xr:uid="{00000000-0005-0000-0000-000074000000}"/>
    <cellStyle name="Porcentagem 2 2 2" xfId="148" xr:uid="{00000000-0005-0000-0000-000075000000}"/>
    <cellStyle name="Porcentagem 2 3" xfId="165" xr:uid="{00000000-0005-0000-0000-000076000000}"/>
    <cellStyle name="Porcentagem 2 4" xfId="156" xr:uid="{00000000-0005-0000-0000-000077000000}"/>
    <cellStyle name="Porcentagem 3" xfId="111" xr:uid="{00000000-0005-0000-0000-000078000000}"/>
    <cellStyle name="Porcentagem 3 2" xfId="112" xr:uid="{00000000-0005-0000-0000-000079000000}"/>
    <cellStyle name="Porcentagem 3 2 2" xfId="150" xr:uid="{00000000-0005-0000-0000-00007A000000}"/>
    <cellStyle name="Porcentagem 3 3" xfId="149" xr:uid="{00000000-0005-0000-0000-00007B000000}"/>
    <cellStyle name="Porcentagem 4" xfId="113" xr:uid="{00000000-0005-0000-0000-00007C000000}"/>
    <cellStyle name="Porcentagem 4 2" xfId="114" xr:uid="{00000000-0005-0000-0000-00007D000000}"/>
    <cellStyle name="Porcentagem 5" xfId="115" xr:uid="{00000000-0005-0000-0000-00007E000000}"/>
    <cellStyle name="Porcentagem 5 2" xfId="151" xr:uid="{00000000-0005-0000-0000-00007F000000}"/>
    <cellStyle name="Porcentagem 6" xfId="108" xr:uid="{00000000-0005-0000-0000-000080000000}"/>
    <cellStyle name="Saída" xfId="7" builtinId="21" customBuiltin="1"/>
    <cellStyle name="Saída 2" xfId="116" xr:uid="{00000000-0005-0000-0000-000082000000}"/>
    <cellStyle name="Separador de milhares 2" xfId="117" xr:uid="{00000000-0005-0000-0000-000083000000}"/>
    <cellStyle name="Separador de milhares 2 2" xfId="118" xr:uid="{00000000-0005-0000-0000-000084000000}"/>
    <cellStyle name="Separador de milhares 2 3" xfId="152" xr:uid="{00000000-0005-0000-0000-000085000000}"/>
    <cellStyle name="Separador de milhares 3" xfId="119" xr:uid="{00000000-0005-0000-0000-000086000000}"/>
    <cellStyle name="Separador de milhares 3 2" xfId="120" xr:uid="{00000000-0005-0000-0000-000087000000}"/>
    <cellStyle name="Separador de milhares 3 3" xfId="121" xr:uid="{00000000-0005-0000-0000-000088000000}"/>
    <cellStyle name="Separador de milhares 3 4" xfId="157" xr:uid="{00000000-0005-0000-0000-000089000000}"/>
    <cellStyle name="Separador de milhares 4" xfId="122" xr:uid="{00000000-0005-0000-0000-00008A000000}"/>
    <cellStyle name="Separador de milhares 4 2" xfId="123" xr:uid="{00000000-0005-0000-0000-00008B000000}"/>
    <cellStyle name="Separador de milhares 5" xfId="124" xr:uid="{00000000-0005-0000-0000-00008C000000}"/>
    <cellStyle name="Separador de milhares 5 2" xfId="125" xr:uid="{00000000-0005-0000-0000-00008D000000}"/>
    <cellStyle name="Separador de milhares 5 2 2" xfId="126" xr:uid="{00000000-0005-0000-0000-00008E000000}"/>
    <cellStyle name="Separador de milhares 5 3" xfId="127" xr:uid="{00000000-0005-0000-0000-00008F000000}"/>
    <cellStyle name="Separador de milhares 6" xfId="128" xr:uid="{00000000-0005-0000-0000-000090000000}"/>
    <cellStyle name="Separador de milhares 6 2" xfId="129" xr:uid="{00000000-0005-0000-0000-000091000000}"/>
    <cellStyle name="Separador de milhares 7" xfId="130" xr:uid="{00000000-0005-0000-0000-000092000000}"/>
    <cellStyle name="Texto de Aviso" xfId="11" builtinId="11" customBuiltin="1"/>
    <cellStyle name="Texto de Aviso 2" xfId="131" xr:uid="{00000000-0005-0000-0000-000094000000}"/>
    <cellStyle name="Texto Explicativo" xfId="12" builtinId="53" customBuiltin="1"/>
    <cellStyle name="Texto Explicativo 2" xfId="132" xr:uid="{00000000-0005-0000-0000-000096000000}"/>
    <cellStyle name="Título 1" xfId="1" builtinId="16" customBuiltin="1"/>
    <cellStyle name="Título 1 2" xfId="134" xr:uid="{00000000-0005-0000-0000-000098000000}"/>
    <cellStyle name="Título 2" xfId="2" builtinId="17" customBuiltin="1"/>
    <cellStyle name="Título 2 2" xfId="135" xr:uid="{00000000-0005-0000-0000-00009A000000}"/>
    <cellStyle name="Título 3" xfId="3" builtinId="18" customBuiltin="1"/>
    <cellStyle name="Título 3 2" xfId="136" xr:uid="{00000000-0005-0000-0000-00009C000000}"/>
    <cellStyle name="Título 4" xfId="4" builtinId="19" customBuiltin="1"/>
    <cellStyle name="Título 4 2" xfId="137" xr:uid="{00000000-0005-0000-0000-00009E000000}"/>
    <cellStyle name="Título 5" xfId="138" xr:uid="{00000000-0005-0000-0000-00009F000000}"/>
    <cellStyle name="Título 6" xfId="133" xr:uid="{00000000-0005-0000-0000-0000A0000000}"/>
    <cellStyle name="Total" xfId="13" builtinId="25" customBuiltin="1"/>
    <cellStyle name="Total 2" xfId="139" xr:uid="{00000000-0005-0000-0000-0000A2000000}"/>
    <cellStyle name="Vírgula" xfId="167" builtinId="3"/>
    <cellStyle name="Vírgula 14 2" xfId="177" xr:uid="{00000000-0005-0000-0000-0000A4000000}"/>
    <cellStyle name="Vírgula 2" xfId="141" xr:uid="{00000000-0005-0000-0000-0000A5000000}"/>
    <cellStyle name="Vírgula 2 2" xfId="142" xr:uid="{00000000-0005-0000-0000-0000A6000000}"/>
    <cellStyle name="Vírgula 2 2 2" xfId="143" xr:uid="{00000000-0005-0000-0000-0000A7000000}"/>
    <cellStyle name="Vírgula 2 2 3" xfId="161" xr:uid="{00000000-0005-0000-0000-0000A8000000}"/>
    <cellStyle name="Vírgula 3" xfId="144" xr:uid="{00000000-0005-0000-0000-0000A9000000}"/>
    <cellStyle name="Vírgula 3 2" xfId="163" xr:uid="{00000000-0005-0000-0000-0000AA000000}"/>
    <cellStyle name="Vírgula 4" xfId="145" xr:uid="{00000000-0005-0000-0000-0000AB000000}"/>
    <cellStyle name="Vírgula 4 2" xfId="153" xr:uid="{00000000-0005-0000-0000-0000AC000000}"/>
    <cellStyle name="Vírgula 5" xfId="146" xr:uid="{00000000-0005-0000-0000-0000AD000000}"/>
    <cellStyle name="Vírgula 5 2" xfId="154" xr:uid="{00000000-0005-0000-0000-0000AE000000}"/>
    <cellStyle name="Vírgula 5 3" xfId="160" xr:uid="{00000000-0005-0000-0000-0000AF000000}"/>
    <cellStyle name="Vírgula 6" xfId="140" xr:uid="{00000000-0005-0000-0000-0000B0000000}"/>
    <cellStyle name="Vírgula 6 2" xfId="155" xr:uid="{00000000-0005-0000-0000-0000B1000000}"/>
    <cellStyle name="Vírgula0" xfId="147" xr:uid="{00000000-0005-0000-0000-0000B2000000}"/>
  </cellStyles>
  <dxfs count="136">
    <dxf>
      <font>
        <color indexed="9"/>
      </font>
      <fill>
        <patternFill patternType="none">
          <bgColor indexed="65"/>
        </patternFill>
      </fill>
    </dxf>
    <dxf>
      <font>
        <color indexed="9"/>
      </font>
      <fill>
        <patternFill>
          <bgColor indexed="9"/>
        </patternFill>
      </fill>
      <border>
        <left/>
        <right/>
        <top/>
        <bottom/>
      </border>
    </dxf>
    <dxf>
      <font>
        <color indexed="9"/>
      </font>
      <fill>
        <patternFill patternType="none">
          <bgColor indexed="65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indexed="8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indexed="47"/>
        </patternFill>
      </fill>
    </dxf>
    <dxf>
      <font>
        <condense val="0"/>
        <extend val="0"/>
        <color indexed="17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ndense val="0"/>
        <extend val="0"/>
        <color indexed="1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43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FFC7CE"/>
        </patternFill>
      </fill>
    </dxf>
    <dxf>
      <fill>
        <patternFill>
          <bgColor theme="0" tint="-0.24994659260841701"/>
        </patternFill>
      </fill>
    </dxf>
    <dxf>
      <font>
        <color theme="0"/>
      </font>
    </dxf>
    <dxf>
      <fill>
        <patternFill>
          <bgColor theme="0" tint="-0.24994659260841701"/>
        </patternFill>
      </fill>
    </dxf>
    <dxf>
      <font>
        <color theme="0"/>
      </font>
    </dxf>
    <dxf>
      <fill>
        <patternFill>
          <bgColor theme="0" tint="-0.24994659260841701"/>
        </patternFill>
      </fill>
    </dxf>
    <dxf>
      <font>
        <color theme="0"/>
      </font>
    </dxf>
    <dxf>
      <fill>
        <patternFill>
          <bgColor theme="0" tint="-0.24994659260841701"/>
        </patternFill>
      </fill>
    </dxf>
    <dxf>
      <font>
        <color theme="0"/>
      </font>
    </dxf>
    <dxf>
      <fill>
        <patternFill>
          <bgColor theme="0" tint="-0.2499465926084170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24994659260841701"/>
        </patternFill>
      </fill>
    </dxf>
    <dxf>
      <font>
        <color theme="0"/>
      </font>
    </dxf>
    <dxf>
      <fill>
        <patternFill>
          <bgColor theme="0" tint="-0.24994659260841701"/>
        </patternFill>
      </fill>
    </dxf>
    <dxf>
      <font>
        <color theme="0"/>
      </font>
    </dxf>
    <dxf>
      <fill>
        <patternFill>
          <bgColor theme="0" tint="-0.2499465926084170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0" tint="-0.2499465926084170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2499465926084170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24994659260841701"/>
        </patternFill>
      </fill>
    </dxf>
    <dxf>
      <font>
        <color theme="0"/>
      </font>
    </dxf>
    <dxf>
      <fill>
        <patternFill>
          <bgColor theme="0" tint="-0.24994659260841701"/>
        </patternFill>
      </fill>
    </dxf>
    <dxf>
      <font>
        <color theme="0"/>
      </font>
    </dxf>
    <dxf>
      <fill>
        <patternFill>
          <bgColor theme="0" tint="-0.24994659260841701"/>
        </patternFill>
      </fill>
    </dxf>
    <dxf>
      <font>
        <color theme="0"/>
      </font>
    </dxf>
    <dxf>
      <fill>
        <patternFill>
          <bgColor theme="0" tint="-0.24994659260841701"/>
        </patternFill>
      </fill>
    </dxf>
    <dxf>
      <font>
        <color theme="0"/>
      </font>
    </dxf>
    <dxf>
      <fill>
        <patternFill>
          <bgColor theme="0" tint="-0.24994659260841701"/>
        </patternFill>
      </fill>
    </dxf>
    <dxf>
      <font>
        <color theme="0"/>
      </font>
    </dxf>
    <dxf>
      <fill>
        <patternFill>
          <bgColor theme="0" tint="-0.2499465926084170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24994659260841701"/>
        </patternFill>
      </fill>
    </dxf>
    <dxf>
      <font>
        <color theme="0"/>
      </font>
    </dxf>
    <dxf>
      <fill>
        <patternFill>
          <bgColor theme="0" tint="-0.24994659260841701"/>
        </patternFill>
      </fill>
    </dxf>
    <dxf>
      <font>
        <color theme="0"/>
      </font>
    </dxf>
    <dxf>
      <fill>
        <patternFill>
          <bgColor theme="0" tint="-0.24994659260841701"/>
        </patternFill>
      </fill>
    </dxf>
    <dxf>
      <font>
        <color theme="0"/>
      </font>
    </dxf>
    <dxf>
      <fill>
        <patternFill>
          <bgColor theme="0" tint="-0.24994659260841701"/>
        </patternFill>
      </fill>
    </dxf>
    <dxf>
      <font>
        <color theme="0"/>
      </font>
    </dxf>
    <dxf>
      <fill>
        <patternFill>
          <bgColor theme="0" tint="-0.24994659260841701"/>
        </patternFill>
      </fill>
    </dxf>
    <dxf>
      <font>
        <color theme="0"/>
      </font>
    </dxf>
    <dxf>
      <fill>
        <patternFill>
          <bgColor theme="0" tint="-0.24994659260841701"/>
        </patternFill>
      </fill>
    </dxf>
    <dxf>
      <font>
        <color theme="0"/>
      </font>
    </dxf>
    <dxf>
      <fill>
        <patternFill>
          <bgColor theme="0" tint="-0.24994659260841701"/>
        </patternFill>
      </fill>
    </dxf>
    <dxf>
      <font>
        <color theme="0"/>
      </font>
    </dxf>
    <dxf>
      <fill>
        <patternFill>
          <bgColor theme="0" tint="-0.24994659260841701"/>
        </patternFill>
      </fill>
    </dxf>
    <dxf>
      <font>
        <color theme="0"/>
      </font>
    </dxf>
    <dxf>
      <fill>
        <patternFill>
          <bgColor theme="0" tint="-0.24994659260841701"/>
        </patternFill>
      </fill>
    </dxf>
    <dxf>
      <font>
        <color theme="0"/>
      </font>
    </dxf>
    <dxf>
      <fill>
        <patternFill>
          <bgColor theme="0" tint="-0.24994659260841701"/>
        </patternFill>
      </fill>
    </dxf>
    <dxf>
      <font>
        <color theme="0"/>
      </font>
    </dxf>
    <dxf>
      <fill>
        <patternFill>
          <bgColor theme="0" tint="-0.24994659260841701"/>
        </patternFill>
      </fill>
    </dxf>
    <dxf>
      <font>
        <color theme="0"/>
      </font>
    </dxf>
    <dxf>
      <fill>
        <patternFill>
          <bgColor theme="0" tint="-0.2499465926084170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24994659260841701"/>
        </patternFill>
      </fill>
    </dxf>
    <dxf>
      <font>
        <color theme="0"/>
      </font>
    </dxf>
    <dxf>
      <fill>
        <patternFill>
          <bgColor theme="0" tint="-0.24994659260841701"/>
        </patternFill>
      </fill>
    </dxf>
    <dxf>
      <font>
        <color theme="0"/>
      </font>
    </dxf>
    <dxf>
      <fill>
        <patternFill>
          <bgColor theme="0" tint="-0.24994659260841701"/>
        </patternFill>
      </fill>
    </dxf>
    <dxf>
      <font>
        <color theme="0"/>
      </font>
    </dxf>
    <dxf>
      <fill>
        <patternFill>
          <bgColor theme="0" tint="-0.2499465926084170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24994659260841701"/>
        </patternFill>
      </fill>
    </dxf>
    <dxf>
      <font>
        <color theme="0"/>
      </font>
    </dxf>
    <dxf>
      <fill>
        <patternFill>
          <bgColor theme="0" tint="-0.24994659260841701"/>
        </patternFill>
      </fill>
    </dxf>
    <dxf>
      <font>
        <color theme="0"/>
      </font>
    </dxf>
    <dxf>
      <fill>
        <patternFill>
          <bgColor theme="0" tint="-0.2499465926084170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24994659260841701"/>
        </patternFill>
      </fill>
    </dxf>
    <dxf>
      <font>
        <color theme="0"/>
      </font>
    </dxf>
    <dxf>
      <fill>
        <patternFill>
          <bgColor theme="0" tint="-0.24994659260841701"/>
        </patternFill>
      </fill>
    </dxf>
    <dxf>
      <font>
        <color theme="0"/>
      </font>
    </dxf>
    <dxf>
      <fill>
        <patternFill>
          <bgColor theme="0" tint="-0.24994659260841701"/>
        </patternFill>
      </fill>
    </dxf>
    <dxf>
      <font>
        <color theme="0"/>
      </font>
    </dxf>
    <dxf>
      <fill>
        <patternFill>
          <bgColor theme="0" tint="-0.2499465926084170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24994659260841701"/>
        </patternFill>
      </fill>
    </dxf>
    <dxf>
      <font>
        <color theme="0"/>
      </font>
    </dxf>
    <dxf>
      <fill>
        <patternFill>
          <bgColor theme="0" tint="-0.24994659260841701"/>
        </patternFill>
      </fill>
    </dxf>
    <dxf>
      <font>
        <color theme="0"/>
      </font>
    </dxf>
    <dxf>
      <fill>
        <patternFill>
          <bgColor theme="0" tint="-0.24994659260841701"/>
        </patternFill>
      </fill>
    </dxf>
    <dxf>
      <font>
        <color theme="0"/>
      </font>
    </dxf>
    <dxf>
      <fill>
        <patternFill>
          <bgColor theme="0" tint="-0.24994659260841701"/>
        </patternFill>
      </fill>
    </dxf>
    <dxf>
      <font>
        <color theme="0"/>
      </font>
    </dxf>
    <dxf>
      <fill>
        <patternFill>
          <bgColor theme="0" tint="-0.2499465926084170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24994659260841701"/>
        </patternFill>
      </fill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1</xdr:row>
      <xdr:rowOff>137160</xdr:rowOff>
    </xdr:from>
    <xdr:to>
      <xdr:col>2</xdr:col>
      <xdr:colOff>501188</xdr:colOff>
      <xdr:row>4</xdr:row>
      <xdr:rowOff>53340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rcRect l="5204" r="7457"/>
        <a:stretch>
          <a:fillRect/>
        </a:stretch>
      </xdr:blipFill>
      <xdr:spPr bwMode="auto">
        <a:xfrm>
          <a:off x="99060" y="365760"/>
          <a:ext cx="1699260" cy="5715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239808</xdr:colOff>
      <xdr:row>1</xdr:row>
      <xdr:rowOff>93223</xdr:rowOff>
    </xdr:from>
    <xdr:to>
      <xdr:col>0</xdr:col>
      <xdr:colOff>1903105</xdr:colOff>
      <xdr:row>4</xdr:row>
      <xdr:rowOff>123872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PicPr/>
      </xdr:nvPicPr>
      <xdr:blipFill>
        <a:blip xmlns:r="http://schemas.openxmlformats.org/officeDocument/2006/relationships" r:embed="rId1"/>
        <a:srcRect l="5204" r="7457"/>
        <a:stretch>
          <a:fillRect/>
        </a:stretch>
      </xdr:blipFill>
      <xdr:spPr bwMode="auto">
        <a:xfrm>
          <a:off x="239808" y="278753"/>
          <a:ext cx="1663297" cy="660128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1</xdr:row>
      <xdr:rowOff>36073</xdr:rowOff>
    </xdr:from>
    <xdr:to>
      <xdr:col>3</xdr:col>
      <xdr:colOff>34522</xdr:colOff>
      <xdr:row>4</xdr:row>
      <xdr:rowOff>66722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44528092-498D-43E5-842B-431124A092B3}"/>
            </a:ext>
          </a:extLst>
        </xdr:cNvPr>
        <xdr:cNvPicPr/>
      </xdr:nvPicPr>
      <xdr:blipFill>
        <a:blip xmlns:r="http://schemas.openxmlformats.org/officeDocument/2006/relationships" r:embed="rId1"/>
        <a:srcRect l="5204" r="7457"/>
        <a:stretch>
          <a:fillRect/>
        </a:stretch>
      </xdr:blipFill>
      <xdr:spPr bwMode="auto">
        <a:xfrm>
          <a:off x="200025" y="226573"/>
          <a:ext cx="1663297" cy="6688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1</xdr:row>
      <xdr:rowOff>137160</xdr:rowOff>
    </xdr:from>
    <xdr:to>
      <xdr:col>2</xdr:col>
      <xdr:colOff>579120</xdr:colOff>
      <xdr:row>4</xdr:row>
      <xdr:rowOff>53340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/>
        <a:srcRect l="5204" r="7457"/>
        <a:stretch>
          <a:fillRect/>
        </a:stretch>
      </xdr:blipFill>
      <xdr:spPr bwMode="auto">
        <a:xfrm>
          <a:off x="99060" y="365760"/>
          <a:ext cx="1699260" cy="5715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1</xdr:row>
      <xdr:rowOff>137160</xdr:rowOff>
    </xdr:from>
    <xdr:to>
      <xdr:col>2</xdr:col>
      <xdr:colOff>561975</xdr:colOff>
      <xdr:row>4</xdr:row>
      <xdr:rowOff>180975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/>
        <a:srcRect l="5204" r="7457"/>
        <a:stretch>
          <a:fillRect/>
        </a:stretch>
      </xdr:blipFill>
      <xdr:spPr bwMode="auto">
        <a:xfrm>
          <a:off x="99060" y="365760"/>
          <a:ext cx="1682115" cy="68199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167640</xdr:colOff>
      <xdr:row>1</xdr:row>
      <xdr:rowOff>53340</xdr:rowOff>
    </xdr:from>
    <xdr:to>
      <xdr:col>1</xdr:col>
      <xdr:colOff>1379220</xdr:colOff>
      <xdr:row>4</xdr:row>
      <xdr:rowOff>60960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1"/>
        <a:srcRect l="5204" r="7457"/>
        <a:stretch>
          <a:fillRect/>
        </a:stretch>
      </xdr:blipFill>
      <xdr:spPr bwMode="auto">
        <a:xfrm>
          <a:off x="167640" y="251460"/>
          <a:ext cx="1821180" cy="70866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232410</xdr:colOff>
      <xdr:row>1</xdr:row>
      <xdr:rowOff>80010</xdr:rowOff>
    </xdr:from>
    <xdr:to>
      <xdr:col>3</xdr:col>
      <xdr:colOff>704850</xdr:colOff>
      <xdr:row>5</xdr:row>
      <xdr:rowOff>209550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2ABA4B92-F66C-47AF-9AC5-786F50755BBA}"/>
            </a:ext>
          </a:extLst>
        </xdr:cNvPr>
        <xdr:cNvPicPr/>
      </xdr:nvPicPr>
      <xdr:blipFill>
        <a:blip xmlns:r="http://schemas.openxmlformats.org/officeDocument/2006/relationships" r:embed="rId1"/>
        <a:srcRect l="5204" r="7457"/>
        <a:stretch>
          <a:fillRect/>
        </a:stretch>
      </xdr:blipFill>
      <xdr:spPr bwMode="auto">
        <a:xfrm>
          <a:off x="232410" y="308610"/>
          <a:ext cx="2377440" cy="98679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28575</xdr:colOff>
      <xdr:row>8</xdr:row>
      <xdr:rowOff>0</xdr:rowOff>
    </xdr:from>
    <xdr:to>
      <xdr:col>12</xdr:col>
      <xdr:colOff>485775</xdr:colOff>
      <xdr:row>8</xdr:row>
      <xdr:rowOff>144780</xdr:rowOff>
    </xdr:to>
    <xdr:sp macro="" textlink="">
      <xdr:nvSpPr>
        <xdr:cNvPr id="2" name="Text Box 3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9843135" y="0"/>
          <a:ext cx="457200" cy="144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pt-BR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PERÍODO</a:t>
          </a:r>
          <a:endParaRPr lang="pt-BR"/>
        </a:p>
      </xdr:txBody>
    </xdr:sp>
    <xdr:clientData/>
  </xdr:twoCellAnchor>
  <xdr:twoCellAnchor editAs="oneCell">
    <xdr:from>
      <xdr:col>12</xdr:col>
      <xdr:colOff>28575</xdr:colOff>
      <xdr:row>8</xdr:row>
      <xdr:rowOff>0</xdr:rowOff>
    </xdr:from>
    <xdr:to>
      <xdr:col>12</xdr:col>
      <xdr:colOff>485775</xdr:colOff>
      <xdr:row>8</xdr:row>
      <xdr:rowOff>144780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9843135" y="0"/>
          <a:ext cx="457200" cy="144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pt-BR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PERÍODO</a:t>
          </a:r>
          <a:endParaRPr lang="pt-BR"/>
        </a:p>
      </xdr:txBody>
    </xdr:sp>
    <xdr:clientData/>
  </xdr:twoCellAnchor>
  <xdr:twoCellAnchor editAs="oneCell">
    <xdr:from>
      <xdr:col>0</xdr:col>
      <xdr:colOff>99060</xdr:colOff>
      <xdr:row>1</xdr:row>
      <xdr:rowOff>137160</xdr:rowOff>
    </xdr:from>
    <xdr:to>
      <xdr:col>1</xdr:col>
      <xdr:colOff>1264920</xdr:colOff>
      <xdr:row>4</xdr:row>
      <xdr:rowOff>68580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/>
      </xdr:nvPicPr>
      <xdr:blipFill>
        <a:blip xmlns:r="http://schemas.openxmlformats.org/officeDocument/2006/relationships" r:embed="rId1"/>
        <a:srcRect l="5204" r="7457"/>
        <a:stretch>
          <a:fillRect/>
        </a:stretch>
      </xdr:blipFill>
      <xdr:spPr bwMode="auto">
        <a:xfrm>
          <a:off x="99060" y="335280"/>
          <a:ext cx="1775460" cy="67818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1</xdr:row>
      <xdr:rowOff>137160</xdr:rowOff>
    </xdr:from>
    <xdr:to>
      <xdr:col>3</xdr:col>
      <xdr:colOff>135660</xdr:colOff>
      <xdr:row>4</xdr:row>
      <xdr:rowOff>160020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/>
      </xdr:nvPicPr>
      <xdr:blipFill>
        <a:blip xmlns:r="http://schemas.openxmlformats.org/officeDocument/2006/relationships" r:embed="rId1"/>
        <a:srcRect l="5204" r="7457"/>
        <a:stretch>
          <a:fillRect/>
        </a:stretch>
      </xdr:blipFill>
      <xdr:spPr bwMode="auto">
        <a:xfrm>
          <a:off x="99060" y="365760"/>
          <a:ext cx="1699260" cy="57150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99061</xdr:colOff>
      <xdr:row>0</xdr:row>
      <xdr:rowOff>143786</xdr:rowOff>
    </xdr:from>
    <xdr:to>
      <xdr:col>2</xdr:col>
      <xdr:colOff>579121</xdr:colOff>
      <xdr:row>3</xdr:row>
      <xdr:rowOff>151405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/>
      </xdr:nvPicPr>
      <xdr:blipFill>
        <a:blip xmlns:r="http://schemas.openxmlformats.org/officeDocument/2006/relationships" r:embed="rId1"/>
        <a:srcRect l="5204" r="7457"/>
        <a:stretch>
          <a:fillRect/>
        </a:stretch>
      </xdr:blipFill>
      <xdr:spPr bwMode="auto">
        <a:xfrm>
          <a:off x="99061" y="143786"/>
          <a:ext cx="1699260" cy="663602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179742</xdr:colOff>
      <xdr:row>1</xdr:row>
      <xdr:rowOff>2689</xdr:rowOff>
    </xdr:from>
    <xdr:to>
      <xdr:col>2</xdr:col>
      <xdr:colOff>142155</xdr:colOff>
      <xdr:row>4</xdr:row>
      <xdr:rowOff>132229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1"/>
        <a:srcRect l="5204" r="7457"/>
        <a:stretch>
          <a:fillRect/>
        </a:stretch>
      </xdr:blipFill>
      <xdr:spPr bwMode="auto">
        <a:xfrm>
          <a:off x="179742" y="199913"/>
          <a:ext cx="2217677" cy="78396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oaof/Desktop/Prefeitura%20de%20Arapiraca/BD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DI (1)"/>
    </sheetNames>
    <sheetDataSet>
      <sheetData sheetId="0">
        <row r="2">
          <cell r="U2" t="str">
            <v>SIM</v>
          </cell>
        </row>
        <row r="3">
          <cell r="U3" t="str">
            <v>NÃO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2060"/>
    <pageSetUpPr fitToPage="1"/>
  </sheetPr>
  <dimension ref="A1:S385"/>
  <sheetViews>
    <sheetView view="pageBreakPreview" zoomScale="110" zoomScaleNormal="100" zoomScaleSheetLayoutView="110" workbookViewId="0">
      <selection activeCell="B8" sqref="B8:J8"/>
    </sheetView>
  </sheetViews>
  <sheetFormatPr defaultRowHeight="15" x14ac:dyDescent="0.25"/>
  <cols>
    <col min="2" max="2" width="10.28515625" customWidth="1"/>
    <col min="4" max="4" width="54.140625" customWidth="1"/>
    <col min="6" max="6" width="10.5703125" bestFit="1" customWidth="1"/>
    <col min="7" max="7" width="12.7109375" bestFit="1" customWidth="1"/>
    <col min="8" max="8" width="11.7109375" bestFit="1" customWidth="1"/>
    <col min="9" max="9" width="13.7109375" customWidth="1"/>
    <col min="10" max="10" width="17.28515625" customWidth="1"/>
    <col min="11" max="11" width="15.5703125" customWidth="1"/>
    <col min="12" max="12" width="15.5703125" style="484" customWidth="1"/>
    <col min="13" max="15" width="15.5703125" customWidth="1"/>
    <col min="16" max="16" width="15.140625" bestFit="1" customWidth="1"/>
    <col min="17" max="17" width="16.140625" bestFit="1" customWidth="1"/>
    <col min="18" max="18" width="15.140625" bestFit="1" customWidth="1"/>
    <col min="19" max="19" width="11.42578125" bestFit="1" customWidth="1"/>
  </cols>
  <sheetData>
    <row r="1" spans="1:18" ht="18" customHeight="1" x14ac:dyDescent="0.25">
      <c r="A1" s="25"/>
      <c r="B1" s="26"/>
      <c r="C1" s="26"/>
      <c r="D1" s="27"/>
      <c r="E1" s="777" t="s">
        <v>7</v>
      </c>
      <c r="F1" s="778"/>
      <c r="G1" s="778"/>
      <c r="H1" s="778"/>
      <c r="I1" s="778"/>
      <c r="J1" s="778"/>
      <c r="K1" s="450"/>
      <c r="L1" s="472"/>
      <c r="M1" s="450"/>
      <c r="N1" s="450"/>
      <c r="O1" s="450"/>
    </row>
    <row r="2" spans="1:18" ht="20.45" customHeight="1" x14ac:dyDescent="0.25">
      <c r="A2" s="28"/>
      <c r="B2" s="29"/>
      <c r="C2" s="29"/>
      <c r="D2" s="262" t="s">
        <v>0</v>
      </c>
      <c r="E2" s="779" t="s">
        <v>22</v>
      </c>
      <c r="F2" s="780"/>
      <c r="G2" s="783" t="s">
        <v>832</v>
      </c>
      <c r="H2" s="783"/>
      <c r="I2" s="783"/>
      <c r="J2" s="783"/>
      <c r="K2" s="451"/>
      <c r="L2" s="473"/>
      <c r="M2" s="451"/>
      <c r="N2" s="451"/>
      <c r="O2" s="451"/>
    </row>
    <row r="3" spans="1:18" ht="15.6" customHeight="1" x14ac:dyDescent="0.25">
      <c r="A3" s="28"/>
      <c r="B3" s="29"/>
      <c r="C3" s="29"/>
      <c r="D3" s="263" t="s">
        <v>1</v>
      </c>
      <c r="E3" s="781"/>
      <c r="F3" s="782"/>
      <c r="G3" s="783"/>
      <c r="H3" s="783"/>
      <c r="I3" s="783"/>
      <c r="J3" s="783"/>
      <c r="K3" s="451"/>
      <c r="L3" s="473"/>
      <c r="M3" s="451"/>
      <c r="N3" s="451"/>
      <c r="O3" s="451"/>
    </row>
    <row r="4" spans="1:18" ht="15.6" customHeight="1" x14ac:dyDescent="0.25">
      <c r="A4" s="28"/>
      <c r="B4" s="29"/>
      <c r="C4" s="29"/>
      <c r="D4" s="32"/>
      <c r="E4" s="784" t="s">
        <v>23</v>
      </c>
      <c r="F4" s="785"/>
      <c r="G4" s="786" t="s">
        <v>781</v>
      </c>
      <c r="H4" s="786"/>
      <c r="I4" s="786"/>
      <c r="J4" s="786"/>
      <c r="K4" s="452"/>
      <c r="L4" s="474"/>
      <c r="M4" s="452"/>
      <c r="N4" s="452"/>
      <c r="O4" s="452"/>
    </row>
    <row r="5" spans="1:18" ht="17.45" customHeight="1" x14ac:dyDescent="0.25">
      <c r="A5" s="28"/>
      <c r="B5" s="29"/>
      <c r="C5" s="29"/>
      <c r="D5" s="33"/>
      <c r="E5" s="790" t="s">
        <v>24</v>
      </c>
      <c r="F5" s="791"/>
      <c r="G5" s="792">
        <v>0.2135</v>
      </c>
      <c r="H5" s="792"/>
      <c r="I5" s="792"/>
      <c r="J5" s="792"/>
      <c r="K5" s="453"/>
      <c r="L5" s="475"/>
      <c r="M5" s="453"/>
      <c r="N5" s="453"/>
      <c r="O5" s="453"/>
    </row>
    <row r="6" spans="1:18" ht="17.45" customHeight="1" x14ac:dyDescent="0.25">
      <c r="A6" s="28"/>
      <c r="B6" s="29"/>
      <c r="C6" s="29"/>
      <c r="D6" s="33"/>
      <c r="E6" s="790" t="s">
        <v>786</v>
      </c>
      <c r="F6" s="791"/>
      <c r="G6" s="792">
        <v>0.1401</v>
      </c>
      <c r="H6" s="792"/>
      <c r="I6" s="792"/>
      <c r="J6" s="792"/>
      <c r="K6" s="453"/>
      <c r="L6" s="475"/>
      <c r="M6" s="453"/>
      <c r="N6" s="453"/>
      <c r="O6" s="453"/>
    </row>
    <row r="7" spans="1:18" ht="29.45" customHeight="1" x14ac:dyDescent="0.25">
      <c r="A7" s="34"/>
      <c r="B7" s="35"/>
      <c r="C7" s="35"/>
      <c r="D7" s="33"/>
      <c r="E7" s="793" t="s">
        <v>25</v>
      </c>
      <c r="F7" s="794"/>
      <c r="G7" s="795" t="s">
        <v>467</v>
      </c>
      <c r="H7" s="795"/>
      <c r="I7" s="795"/>
      <c r="J7" s="796"/>
      <c r="K7" s="454"/>
      <c r="L7" s="476"/>
      <c r="M7" s="454"/>
      <c r="N7" s="454"/>
      <c r="O7" s="454"/>
    </row>
    <row r="8" spans="1:18" ht="33.6" customHeight="1" x14ac:dyDescent="0.25">
      <c r="A8" s="1" t="s">
        <v>2</v>
      </c>
      <c r="B8" s="797" t="s">
        <v>699</v>
      </c>
      <c r="C8" s="797"/>
      <c r="D8" s="797"/>
      <c r="E8" s="797"/>
      <c r="F8" s="797"/>
      <c r="G8" s="797"/>
      <c r="H8" s="797"/>
      <c r="I8" s="797"/>
      <c r="J8" s="797"/>
      <c r="K8" s="455"/>
      <c r="L8" s="477"/>
      <c r="M8" s="455"/>
      <c r="N8" s="455"/>
      <c r="O8" s="455"/>
    </row>
    <row r="9" spans="1:18" ht="25.5" x14ac:dyDescent="0.25">
      <c r="A9" s="2" t="s">
        <v>3</v>
      </c>
      <c r="B9" s="2" t="s">
        <v>4</v>
      </c>
      <c r="C9" s="3" t="s">
        <v>14</v>
      </c>
      <c r="D9" s="3" t="s">
        <v>15</v>
      </c>
      <c r="E9" s="2" t="s">
        <v>16</v>
      </c>
      <c r="F9" s="2" t="s">
        <v>17</v>
      </c>
      <c r="G9" s="4" t="s">
        <v>18</v>
      </c>
      <c r="H9" s="5" t="s">
        <v>19</v>
      </c>
      <c r="I9" s="5" t="s">
        <v>20</v>
      </c>
      <c r="J9" s="4" t="s">
        <v>21</v>
      </c>
      <c r="K9" s="456"/>
      <c r="L9" s="478"/>
      <c r="M9" s="456"/>
      <c r="N9" s="456"/>
      <c r="O9" s="456"/>
    </row>
    <row r="10" spans="1:18" x14ac:dyDescent="0.25">
      <c r="A10" s="6" t="s">
        <v>5</v>
      </c>
      <c r="B10" s="798" t="s">
        <v>8</v>
      </c>
      <c r="C10" s="799"/>
      <c r="D10" s="799"/>
      <c r="E10" s="799"/>
      <c r="F10" s="799"/>
      <c r="G10" s="799"/>
      <c r="H10" s="799"/>
      <c r="I10" s="800"/>
      <c r="J10" s="7">
        <f>SUM(J11)</f>
        <v>171579.2</v>
      </c>
      <c r="K10" s="457"/>
      <c r="L10" s="479"/>
      <c r="M10" s="457"/>
      <c r="N10" s="457"/>
      <c r="O10" s="457"/>
      <c r="P10" s="317"/>
    </row>
    <row r="11" spans="1:18" x14ac:dyDescent="0.25">
      <c r="A11" s="9" t="s">
        <v>9</v>
      </c>
      <c r="B11" s="775" t="s">
        <v>43</v>
      </c>
      <c r="C11" s="776"/>
      <c r="D11" s="11" t="s">
        <v>461</v>
      </c>
      <c r="E11" s="12" t="s">
        <v>437</v>
      </c>
      <c r="F11" s="267">
        <f>MC!N14</f>
        <v>8</v>
      </c>
      <c r="G11" s="574">
        <f>COMPOSIÇÕES!J15</f>
        <v>17674</v>
      </c>
      <c r="H11" s="255">
        <f>G11*$G$5</f>
        <v>3773.4</v>
      </c>
      <c r="I11" s="256">
        <f>G11+H11</f>
        <v>21447.4</v>
      </c>
      <c r="J11" s="257">
        <f>I11*F11</f>
        <v>171579.2</v>
      </c>
      <c r="K11" s="458"/>
      <c r="L11" s="475"/>
      <c r="M11" s="475"/>
      <c r="N11" s="458"/>
      <c r="O11" s="458"/>
      <c r="P11" s="305"/>
      <c r="Q11" s="264"/>
      <c r="R11" s="318"/>
    </row>
    <row r="12" spans="1:18" x14ac:dyDescent="0.25">
      <c r="A12" s="19"/>
      <c r="B12" s="19"/>
      <c r="C12" s="20"/>
      <c r="D12" s="20"/>
      <c r="E12" s="21"/>
      <c r="F12" s="19"/>
      <c r="G12" s="22"/>
      <c r="H12" s="23"/>
      <c r="I12" s="22"/>
      <c r="J12" s="24"/>
      <c r="K12" s="459"/>
      <c r="L12" s="475"/>
      <c r="M12" s="475"/>
      <c r="N12" s="459"/>
      <c r="O12" s="459"/>
      <c r="P12" s="305"/>
      <c r="Q12" s="264"/>
      <c r="R12" s="318"/>
    </row>
    <row r="13" spans="1:18" x14ac:dyDescent="0.25">
      <c r="A13" s="37" t="s">
        <v>26</v>
      </c>
      <c r="B13" s="801" t="s">
        <v>6</v>
      </c>
      <c r="C13" s="802"/>
      <c r="D13" s="802"/>
      <c r="E13" s="802"/>
      <c r="F13" s="802"/>
      <c r="G13" s="802"/>
      <c r="H13" s="802"/>
      <c r="I13" s="803"/>
      <c r="J13" s="253">
        <f>SUM(J14:J19)</f>
        <v>31915.16</v>
      </c>
      <c r="K13" s="460"/>
      <c r="L13" s="475"/>
      <c r="M13" s="475"/>
      <c r="N13" s="460"/>
      <c r="O13" s="460"/>
      <c r="P13" s="305"/>
      <c r="Q13" s="264"/>
      <c r="R13" s="318"/>
    </row>
    <row r="14" spans="1:18" ht="25.5" x14ac:dyDescent="0.25">
      <c r="A14" s="9" t="s">
        <v>27</v>
      </c>
      <c r="B14" s="775" t="s">
        <v>586</v>
      </c>
      <c r="C14" s="776"/>
      <c r="D14" s="41" t="s">
        <v>29</v>
      </c>
      <c r="E14" s="415" t="s">
        <v>30</v>
      </c>
      <c r="F14" s="251">
        <f>MC!N18</f>
        <v>6</v>
      </c>
      <c r="G14" s="61">
        <f>COMPOSIÇÕES!J26</f>
        <v>321.82</v>
      </c>
      <c r="H14" s="255">
        <f>G14*$G$5</f>
        <v>68.709999999999994</v>
      </c>
      <c r="I14" s="256">
        <f>G14+H14</f>
        <v>390.53</v>
      </c>
      <c r="J14" s="257">
        <f>I14*F14</f>
        <v>2343.1799999999998</v>
      </c>
      <c r="K14" s="461"/>
      <c r="L14" s="475"/>
      <c r="M14" s="475"/>
      <c r="N14" s="461"/>
      <c r="O14" s="461"/>
      <c r="P14" s="268"/>
      <c r="Q14" s="264"/>
      <c r="R14" s="318"/>
    </row>
    <row r="15" spans="1:18" x14ac:dyDescent="0.25">
      <c r="A15" s="9" t="s">
        <v>435</v>
      </c>
      <c r="B15" s="775" t="s">
        <v>737</v>
      </c>
      <c r="C15" s="776"/>
      <c r="D15" s="11" t="s">
        <v>434</v>
      </c>
      <c r="E15" s="325" t="s">
        <v>30</v>
      </c>
      <c r="F15" s="306">
        <f>MC!N21</f>
        <v>1084.02</v>
      </c>
      <c r="G15" s="307">
        <f>COMPOSIÇÕES!J37</f>
        <v>4.25</v>
      </c>
      <c r="H15" s="255">
        <f>G15*$G$5</f>
        <v>0.91</v>
      </c>
      <c r="I15" s="256">
        <f>G15+H15</f>
        <v>5.16</v>
      </c>
      <c r="J15" s="257">
        <f>I15*F15</f>
        <v>5593.54</v>
      </c>
      <c r="K15" s="462"/>
      <c r="L15" s="475"/>
      <c r="M15" s="475"/>
      <c r="N15" s="462"/>
      <c r="O15" s="462"/>
      <c r="P15" s="305"/>
      <c r="Q15" s="264"/>
      <c r="R15" s="318"/>
    </row>
    <row r="16" spans="1:18" ht="38.25" x14ac:dyDescent="0.25">
      <c r="A16" s="9" t="s">
        <v>438</v>
      </c>
      <c r="B16" s="43" t="s">
        <v>701</v>
      </c>
      <c r="C16" s="10" t="s">
        <v>10</v>
      </c>
      <c r="D16" s="314" t="s">
        <v>436</v>
      </c>
      <c r="E16" s="18" t="s">
        <v>437</v>
      </c>
      <c r="F16" s="306">
        <f>MC!N24</f>
        <v>10</v>
      </c>
      <c r="G16" s="487">
        <v>585</v>
      </c>
      <c r="H16" s="308">
        <f>G16*G6</f>
        <v>81.96</v>
      </c>
      <c r="I16" s="308">
        <f>ROUND(G16+H16,2)</f>
        <v>666.96</v>
      </c>
      <c r="J16" s="308">
        <f>ROUND(I16*F16,2)</f>
        <v>6669.6</v>
      </c>
      <c r="K16" s="462"/>
      <c r="L16" s="475"/>
      <c r="M16" s="475"/>
      <c r="N16" s="462"/>
      <c r="O16" s="318"/>
    </row>
    <row r="17" spans="1:18" ht="38.25" x14ac:dyDescent="0.25">
      <c r="A17" s="9" t="s">
        <v>439</v>
      </c>
      <c r="B17" s="43" t="s">
        <v>702</v>
      </c>
      <c r="C17" s="10" t="s">
        <v>10</v>
      </c>
      <c r="D17" s="314" t="s">
        <v>442</v>
      </c>
      <c r="E17" s="18" t="s">
        <v>437</v>
      </c>
      <c r="F17" s="306">
        <f>MC!N27</f>
        <v>10</v>
      </c>
      <c r="G17" s="487">
        <v>664.21</v>
      </c>
      <c r="H17" s="308">
        <f>G17*G6</f>
        <v>93.06</v>
      </c>
      <c r="I17" s="308">
        <f t="shared" ref="I17" si="0">ROUND(G17+H17,2)</f>
        <v>757.27</v>
      </c>
      <c r="J17" s="308">
        <f t="shared" ref="J17" si="1">ROUND(I17*F17,2)</f>
        <v>7572.7</v>
      </c>
      <c r="K17" s="462"/>
      <c r="L17" s="475"/>
      <c r="M17" s="475"/>
      <c r="N17" s="462"/>
      <c r="O17" s="318"/>
    </row>
    <row r="18" spans="1:18" ht="38.25" x14ac:dyDescent="0.25">
      <c r="A18" s="9" t="s">
        <v>440</v>
      </c>
      <c r="B18" s="775" t="s">
        <v>738</v>
      </c>
      <c r="C18" s="776"/>
      <c r="D18" s="314" t="s">
        <v>443</v>
      </c>
      <c r="E18" s="18" t="s">
        <v>57</v>
      </c>
      <c r="F18" s="306">
        <f>MC!N30</f>
        <v>1</v>
      </c>
      <c r="G18" s="307">
        <f>COMPOSIÇÕES!J60</f>
        <v>3071.95</v>
      </c>
      <c r="H18" s="308">
        <f>G18*$G$5</f>
        <v>655.86</v>
      </c>
      <c r="I18" s="308">
        <f>G18+H18</f>
        <v>3727.81</v>
      </c>
      <c r="J18" s="308">
        <f>I18*F18</f>
        <v>3727.81</v>
      </c>
      <c r="K18" s="462"/>
      <c r="L18" s="475"/>
      <c r="M18" s="475"/>
      <c r="N18" s="462"/>
      <c r="O18" s="462"/>
      <c r="P18" s="305"/>
      <c r="Q18" s="264"/>
      <c r="R18" s="318"/>
    </row>
    <row r="19" spans="1:18" ht="38.25" x14ac:dyDescent="0.25">
      <c r="A19" s="9" t="s">
        <v>441</v>
      </c>
      <c r="B19" s="16">
        <v>93214</v>
      </c>
      <c r="C19" s="17" t="s">
        <v>10</v>
      </c>
      <c r="D19" s="314" t="s">
        <v>444</v>
      </c>
      <c r="E19" s="18" t="s">
        <v>57</v>
      </c>
      <c r="F19" s="306">
        <f>MC!N33</f>
        <v>1</v>
      </c>
      <c r="G19" s="307">
        <v>4951.24</v>
      </c>
      <c r="H19" s="308">
        <f>G19*$G$5</f>
        <v>1057.0899999999999</v>
      </c>
      <c r="I19" s="308">
        <f>G19+H19</f>
        <v>6008.33</v>
      </c>
      <c r="J19" s="308">
        <f>I19*F19</f>
        <v>6008.33</v>
      </c>
      <c r="K19" s="462"/>
      <c r="L19" s="475"/>
      <c r="M19" s="475"/>
      <c r="N19" s="462"/>
      <c r="O19" s="462"/>
      <c r="P19" s="305"/>
      <c r="Q19" s="264"/>
      <c r="R19" s="318"/>
    </row>
    <row r="20" spans="1:18" x14ac:dyDescent="0.25">
      <c r="A20" s="18"/>
      <c r="B20" s="16"/>
      <c r="C20" s="17"/>
      <c r="D20" s="314"/>
      <c r="E20" s="325"/>
      <c r="F20" s="306"/>
      <c r="G20" s="307"/>
      <c r="H20" s="13"/>
      <c r="I20" s="14"/>
      <c r="J20" s="15"/>
      <c r="K20" s="461"/>
      <c r="L20" s="475"/>
      <c r="M20" s="475"/>
      <c r="N20" s="461"/>
      <c r="O20" s="461"/>
      <c r="P20" s="305"/>
      <c r="Q20" s="264"/>
      <c r="R20" s="318"/>
    </row>
    <row r="21" spans="1:18" x14ac:dyDescent="0.25">
      <c r="A21" s="412" t="s">
        <v>31</v>
      </c>
      <c r="B21" s="787" t="s">
        <v>573</v>
      </c>
      <c r="C21" s="788"/>
      <c r="D21" s="788"/>
      <c r="E21" s="788"/>
      <c r="F21" s="788"/>
      <c r="G21" s="788"/>
      <c r="H21" s="788"/>
      <c r="I21" s="789"/>
      <c r="J21" s="434">
        <f>SUM(J22:J26)</f>
        <v>38062.9</v>
      </c>
      <c r="K21" s="463"/>
      <c r="L21" s="475"/>
      <c r="M21" s="475"/>
      <c r="N21" s="463"/>
      <c r="O21" s="463"/>
      <c r="P21" s="269"/>
      <c r="Q21" s="264"/>
      <c r="R21" s="318"/>
    </row>
    <row r="22" spans="1:18" ht="38.25" x14ac:dyDescent="0.25">
      <c r="A22" s="9" t="s">
        <v>32</v>
      </c>
      <c r="B22" s="416">
        <f>'ORÇAMENTO POR RUA'!B22</f>
        <v>92335</v>
      </c>
      <c r="C22" s="12" t="s">
        <v>10</v>
      </c>
      <c r="D22" s="417" t="str">
        <f>'ORÇAMENTO POR RUA'!D22</f>
        <v>TUBO DE AÇO GALVANIZADO COM COSTURA, CLASSE MÉDIA, CONEXÃO RANHURADA, DN 50 (2"), INSTALADO EM PRUMADAS - FORNECIMENTO E INSTALAÇÃO. AF_10/2020</v>
      </c>
      <c r="E22" s="12" t="s">
        <v>42</v>
      </c>
      <c r="F22" s="418">
        <f>MC!N37</f>
        <v>141</v>
      </c>
      <c r="G22" s="573">
        <f>'ORÇAMENTO POR RUA'!G22</f>
        <v>118.27</v>
      </c>
      <c r="H22" s="308">
        <f>G22*$G$5</f>
        <v>25.25</v>
      </c>
      <c r="I22" s="308">
        <f>G22+H22</f>
        <v>143.52000000000001</v>
      </c>
      <c r="J22" s="308">
        <f>I22*F22</f>
        <v>20236.32</v>
      </c>
      <c r="K22" s="464"/>
      <c r="L22" s="475"/>
      <c r="M22" s="475"/>
      <c r="N22" s="464"/>
      <c r="O22" s="464"/>
      <c r="P22" s="270"/>
      <c r="Q22" s="264"/>
      <c r="R22" s="318"/>
    </row>
    <row r="23" spans="1:18" ht="25.5" x14ac:dyDescent="0.25">
      <c r="A23" s="9" t="s">
        <v>39</v>
      </c>
      <c r="B23" s="413">
        <f>'ORÇAMENTO POR RUA'!B23</f>
        <v>5213440</v>
      </c>
      <c r="C23" s="18" t="s">
        <v>10</v>
      </c>
      <c r="D23" s="11" t="str">
        <f>'ORÇAMENTO POR RUA'!D23</f>
        <v>PLACA DE REGULAMENTAÇÃO EM AÇO D = 0,60 M - PELÍCULA RETRORREFLETIVA TIPO I + SI - FORNECIMENTO E IMPLANTAÇÃO</v>
      </c>
      <c r="E23" s="18" t="s">
        <v>30</v>
      </c>
      <c r="F23" s="306">
        <f>MC!N40</f>
        <v>47</v>
      </c>
      <c r="G23" s="307">
        <f>'ORÇAMENTO POR RUA'!G23</f>
        <v>215.95</v>
      </c>
      <c r="H23" s="308">
        <f t="shared" ref="H23:H26" si="2">G23*$G$5</f>
        <v>46.11</v>
      </c>
      <c r="I23" s="308">
        <f t="shared" ref="I23:I26" si="3">G23+H23</f>
        <v>262.06</v>
      </c>
      <c r="J23" s="308">
        <f t="shared" ref="J23:J26" si="4">I23*F23</f>
        <v>12316.82</v>
      </c>
      <c r="K23" s="464"/>
      <c r="L23" s="475"/>
      <c r="M23" s="475"/>
      <c r="N23" s="464"/>
      <c r="O23" s="464"/>
      <c r="P23" s="270"/>
      <c r="Q23" s="264"/>
      <c r="R23" s="318"/>
    </row>
    <row r="24" spans="1:18" ht="25.5" x14ac:dyDescent="0.25">
      <c r="A24" s="9" t="s">
        <v>46</v>
      </c>
      <c r="B24" s="804" t="s">
        <v>740</v>
      </c>
      <c r="C24" s="805"/>
      <c r="D24" s="56" t="str">
        <f>'ORÇAMENTO POR RUA'!D24</f>
        <v>PLACA DE ACO ESMALTADA PARA IDENTIFICACAO DE RUA, *45 CM X 20* CM</v>
      </c>
      <c r="E24" s="9" t="s">
        <v>57</v>
      </c>
      <c r="F24" s="306">
        <f>MC!N43</f>
        <v>47</v>
      </c>
      <c r="G24" s="307">
        <f>'ORÇAMENTO POR RUA'!G24</f>
        <v>81.67</v>
      </c>
      <c r="H24" s="308">
        <f t="shared" si="2"/>
        <v>17.440000000000001</v>
      </c>
      <c r="I24" s="308">
        <f t="shared" si="3"/>
        <v>99.11</v>
      </c>
      <c r="J24" s="308">
        <f t="shared" si="4"/>
        <v>4658.17</v>
      </c>
      <c r="K24" s="464"/>
      <c r="L24" s="475"/>
      <c r="M24" s="475"/>
      <c r="N24" s="464"/>
      <c r="O24" s="464"/>
      <c r="P24" s="272"/>
      <c r="Q24" s="264"/>
      <c r="R24" s="318"/>
    </row>
    <row r="25" spans="1:18" ht="25.5" x14ac:dyDescent="0.25">
      <c r="A25" s="9" t="s">
        <v>580</v>
      </c>
      <c r="B25" s="422" t="s">
        <v>581</v>
      </c>
      <c r="C25" s="106" t="s">
        <v>10</v>
      </c>
      <c r="D25" s="56" t="s">
        <v>582</v>
      </c>
      <c r="E25" s="18" t="s">
        <v>34</v>
      </c>
      <c r="F25" s="306">
        <f>MC!N46</f>
        <v>1.76</v>
      </c>
      <c r="G25" s="307">
        <v>58.7</v>
      </c>
      <c r="H25" s="308">
        <f t="shared" si="2"/>
        <v>12.53</v>
      </c>
      <c r="I25" s="308">
        <f t="shared" si="3"/>
        <v>71.23</v>
      </c>
      <c r="J25" s="308">
        <f t="shared" si="4"/>
        <v>125.36</v>
      </c>
      <c r="K25" s="464"/>
      <c r="L25" s="475"/>
      <c r="M25" s="475"/>
      <c r="N25" s="464"/>
      <c r="O25" s="464"/>
      <c r="P25" s="317"/>
      <c r="Q25" s="264"/>
      <c r="R25" s="318"/>
    </row>
    <row r="26" spans="1:18" ht="25.5" x14ac:dyDescent="0.25">
      <c r="A26" s="9" t="s">
        <v>583</v>
      </c>
      <c r="B26" s="422" t="s">
        <v>584</v>
      </c>
      <c r="C26" s="106" t="s">
        <v>10</v>
      </c>
      <c r="D26" s="56" t="s">
        <v>585</v>
      </c>
      <c r="E26" s="18" t="s">
        <v>34</v>
      </c>
      <c r="F26" s="306">
        <f>MC!N49</f>
        <v>1.76</v>
      </c>
      <c r="G26" s="307">
        <v>340.03</v>
      </c>
      <c r="H26" s="308">
        <f t="shared" si="2"/>
        <v>72.599999999999994</v>
      </c>
      <c r="I26" s="308">
        <f t="shared" si="3"/>
        <v>412.63</v>
      </c>
      <c r="J26" s="308">
        <f t="shared" si="4"/>
        <v>726.23</v>
      </c>
      <c r="K26" s="464"/>
      <c r="L26" s="475"/>
      <c r="M26" s="475"/>
      <c r="N26" s="464"/>
      <c r="O26" s="464"/>
      <c r="P26" s="317"/>
      <c r="Q26" s="264"/>
      <c r="R26" s="318"/>
    </row>
    <row r="27" spans="1:18" x14ac:dyDescent="0.25">
      <c r="A27" s="9"/>
      <c r="B27" s="16"/>
      <c r="C27" s="17"/>
      <c r="D27" s="314"/>
      <c r="E27" s="325"/>
      <c r="F27" s="306"/>
      <c r="G27" s="307"/>
      <c r="H27" s="308"/>
      <c r="I27" s="309"/>
      <c r="J27" s="310"/>
      <c r="K27" s="462"/>
      <c r="L27" s="475"/>
      <c r="M27" s="475"/>
      <c r="N27" s="462"/>
      <c r="O27" s="462"/>
      <c r="Q27" s="264"/>
      <c r="R27" s="318"/>
    </row>
    <row r="28" spans="1:18" x14ac:dyDescent="0.25">
      <c r="A28" s="265" t="s">
        <v>60</v>
      </c>
      <c r="B28" s="769" t="s">
        <v>33</v>
      </c>
      <c r="C28" s="770"/>
      <c r="D28" s="770"/>
      <c r="E28" s="770"/>
      <c r="F28" s="770"/>
      <c r="G28" s="770"/>
      <c r="H28" s="770"/>
      <c r="I28" s="771"/>
      <c r="J28" s="266">
        <f>SUM(J29:J31)</f>
        <v>46914.05</v>
      </c>
      <c r="K28" s="465"/>
      <c r="L28" s="475"/>
      <c r="M28" s="475"/>
      <c r="N28" s="465"/>
      <c r="O28" s="465"/>
      <c r="Q28" s="264"/>
      <c r="R28" s="318"/>
    </row>
    <row r="29" spans="1:18" ht="25.5" x14ac:dyDescent="0.25">
      <c r="A29" s="50" t="s">
        <v>61</v>
      </c>
      <c r="B29" s="18">
        <v>101114</v>
      </c>
      <c r="C29" s="18" t="s">
        <v>10</v>
      </c>
      <c r="D29" s="48" t="s">
        <v>270</v>
      </c>
      <c r="E29" s="18" t="s">
        <v>34</v>
      </c>
      <c r="F29" s="271">
        <f>'ORÇAMENTO POR RUA'!F31+'ORÇAMENTO POR RUA'!F43+'ORÇAMENTO POR RUA'!F55+'ORÇAMENTO POR RUA'!F67+'ORÇAMENTO POR RUA'!F79+'ORÇAMENTO POR RUA'!F105+'ORÇAMENTO POR RUA'!F117+'ORÇAMENTO POR RUA'!F129+'ORÇAMENTO POR RUA'!F156+'ORÇAMENTO POR RUA'!F168+'ORÇAMENTO POR RUA'!F180+'ORÇAMENTO POR RUA'!F208+'ORÇAMENTO POR RUA'!F225+'ORÇAMENTO POR RUA'!F253+'ORÇAMENTO POR RUA'!F279+'ORÇAMENTO POR RUA'!F306+'ORÇAMENTO POR RUA'!F318+'ORÇAMENTO POR RUA'!F346</f>
        <v>1765.66</v>
      </c>
      <c r="G29" s="50">
        <v>2.94</v>
      </c>
      <c r="H29" s="308">
        <f t="shared" ref="H29:H31" si="5">G29*$G$5</f>
        <v>0.63</v>
      </c>
      <c r="I29" s="308">
        <f t="shared" ref="I29" si="6">G29+H29</f>
        <v>3.57</v>
      </c>
      <c r="J29" s="308">
        <f t="shared" ref="J29" si="7">I29*F29</f>
        <v>6303.41</v>
      </c>
      <c r="K29" s="461"/>
      <c r="L29" s="475"/>
      <c r="M29" s="475"/>
      <c r="N29" s="560"/>
      <c r="O29" s="461"/>
      <c r="P29" s="305"/>
      <c r="Q29" s="264"/>
      <c r="R29" s="318"/>
    </row>
    <row r="30" spans="1:18" ht="51" x14ac:dyDescent="0.25">
      <c r="A30" s="18" t="s">
        <v>65</v>
      </c>
      <c r="B30" s="18">
        <v>100973</v>
      </c>
      <c r="C30" s="18" t="s">
        <v>10</v>
      </c>
      <c r="D30" s="11" t="s">
        <v>45</v>
      </c>
      <c r="E30" s="18" t="s">
        <v>34</v>
      </c>
      <c r="F30" s="271">
        <f>'ORÇAMENTO POR RUA'!F32+'ORÇAMENTO POR RUA'!F44+'ORÇAMENTO POR RUA'!F56+'ORÇAMENTO POR RUA'!F68+'ORÇAMENTO POR RUA'!F80+'ORÇAMENTO POR RUA'!F106+'ORÇAMENTO POR RUA'!F118+'ORÇAMENTO POR RUA'!F130+'ORÇAMENTO POR RUA'!F157+'ORÇAMENTO POR RUA'!F169+'ORÇAMENTO POR RUA'!F181+'ORÇAMENTO POR RUA'!F209+'ORÇAMENTO POR RUA'!F226+'ORÇAMENTO POR RUA'!F254+'ORÇAMENTO POR RUA'!F280+'ORÇAMENTO POR RUA'!F307+'ORÇAMENTO POR RUA'!F319+'ORÇAMENTO POR RUA'!F347</f>
        <v>2207.1</v>
      </c>
      <c r="G30" s="50">
        <v>6.43</v>
      </c>
      <c r="H30" s="308">
        <f t="shared" si="5"/>
        <v>1.37</v>
      </c>
      <c r="I30" s="308">
        <f t="shared" ref="I30:I31" si="8">G30+H30</f>
        <v>7.8</v>
      </c>
      <c r="J30" s="308">
        <f t="shared" ref="J30:J31" si="9">I30*F30</f>
        <v>17215.38</v>
      </c>
      <c r="K30" s="466"/>
      <c r="L30" s="475"/>
      <c r="M30" s="475"/>
      <c r="N30" s="466"/>
      <c r="O30" s="466"/>
      <c r="P30" s="272"/>
      <c r="Q30" s="264"/>
      <c r="R30" s="446"/>
    </row>
    <row r="31" spans="1:18" ht="38.25" x14ac:dyDescent="0.25">
      <c r="A31" s="261" t="s">
        <v>70</v>
      </c>
      <c r="B31" s="18">
        <v>95875</v>
      </c>
      <c r="C31" s="18" t="s">
        <v>10</v>
      </c>
      <c r="D31" s="49" t="s">
        <v>35</v>
      </c>
      <c r="E31" s="18" t="s">
        <v>36</v>
      </c>
      <c r="F31" s="271">
        <f>'ORÇAMENTO POR RUA'!F33+'ORÇAMENTO POR RUA'!F45+'ORÇAMENTO POR RUA'!F57+'ORÇAMENTO POR RUA'!F69+'ORÇAMENTO POR RUA'!F81+'ORÇAMENTO POR RUA'!F107+'ORÇAMENTO POR RUA'!F119+'ORÇAMENTO POR RUA'!F131+'ORÇAMENTO POR RUA'!F158+'ORÇAMENTO POR RUA'!F170+'ORÇAMENTO POR RUA'!F182+'ORÇAMENTO POR RUA'!F210+'ORÇAMENTO POR RUA'!F227+'ORÇAMENTO POR RUA'!F255+'ORÇAMENTO POR RUA'!F281+'ORÇAMENTO POR RUA'!F308+'ORÇAMENTO POR RUA'!F320+'ORÇAMENTO POR RUA'!F348</f>
        <v>11035.5</v>
      </c>
      <c r="G31" s="50">
        <v>1.75</v>
      </c>
      <c r="H31" s="308">
        <f t="shared" si="5"/>
        <v>0.37</v>
      </c>
      <c r="I31" s="308">
        <f t="shared" si="8"/>
        <v>2.12</v>
      </c>
      <c r="J31" s="308">
        <f t="shared" si="9"/>
        <v>23395.26</v>
      </c>
      <c r="K31" s="458"/>
      <c r="L31" s="475"/>
      <c r="M31" s="475"/>
      <c r="N31" s="458"/>
      <c r="O31" s="458"/>
      <c r="P31" s="305"/>
      <c r="Q31" s="264"/>
      <c r="R31" s="318"/>
    </row>
    <row r="32" spans="1:18" x14ac:dyDescent="0.25">
      <c r="A32" s="36"/>
      <c r="B32" s="36"/>
      <c r="C32" s="36"/>
      <c r="D32" s="36"/>
      <c r="E32" s="36"/>
      <c r="F32" s="36"/>
      <c r="G32" s="50"/>
      <c r="H32" s="36"/>
      <c r="I32" s="36"/>
      <c r="J32" s="36"/>
      <c r="K32" s="467"/>
      <c r="L32" s="475"/>
      <c r="M32" s="475"/>
      <c r="N32" s="467"/>
      <c r="O32" s="467"/>
      <c r="P32" s="305"/>
      <c r="Q32" s="264"/>
      <c r="R32" s="318"/>
    </row>
    <row r="33" spans="1:19" x14ac:dyDescent="0.25">
      <c r="A33" s="265" t="s">
        <v>71</v>
      </c>
      <c r="B33" s="769" t="s">
        <v>40</v>
      </c>
      <c r="C33" s="770"/>
      <c r="D33" s="770"/>
      <c r="E33" s="770"/>
      <c r="F33" s="770"/>
      <c r="G33" s="770"/>
      <c r="H33" s="770"/>
      <c r="I33" s="771"/>
      <c r="J33" s="266">
        <f>SUM(J34:J37)</f>
        <v>2914598.99</v>
      </c>
      <c r="K33" s="465"/>
      <c r="L33" s="475"/>
      <c r="M33" s="475"/>
      <c r="N33" s="465"/>
      <c r="O33" s="465"/>
      <c r="P33" s="305"/>
      <c r="Q33" s="264"/>
      <c r="R33" s="318"/>
    </row>
    <row r="34" spans="1:19" x14ac:dyDescent="0.25">
      <c r="A34" s="50" t="s">
        <v>72</v>
      </c>
      <c r="B34" s="9">
        <v>99064</v>
      </c>
      <c r="C34" s="10" t="s">
        <v>10</v>
      </c>
      <c r="D34" s="41" t="s">
        <v>41</v>
      </c>
      <c r="E34" s="260" t="s">
        <v>42</v>
      </c>
      <c r="F34" s="251">
        <f>'ORÇAMENTO POR RUA'!F36+'ORÇAMENTO POR RUA'!F48+'ORÇAMENTO POR RUA'!F60+'ORÇAMENTO POR RUA'!F72+'ORÇAMENTO POR RUA'!F84+'ORÇAMENTO POR RUA'!F110+'ORÇAMENTO POR RUA'!F122+'ORÇAMENTO POR RUA'!F134+'ORÇAMENTO POR RUA'!F161+'ORÇAMENTO POR RUA'!F173+'ORÇAMENTO POR RUA'!F185+'ORÇAMENTO POR RUA'!F213+'ORÇAMENTO POR RUA'!F230+'ORÇAMENTO POR RUA'!F258+'ORÇAMENTO POR RUA'!F284+'ORÇAMENTO POR RUA'!F311+'ORÇAMENTO POR RUA'!F323+'ORÇAMENTO POR RUA'!F351</f>
        <v>4538.58</v>
      </c>
      <c r="G34" s="50">
        <v>0.49</v>
      </c>
      <c r="H34" s="308">
        <f t="shared" ref="H34:H37" si="10">G34*$G$5</f>
        <v>0.1</v>
      </c>
      <c r="I34" s="308">
        <f t="shared" ref="I34" si="11">G34+H34</f>
        <v>0.59</v>
      </c>
      <c r="J34" s="308">
        <f t="shared" ref="J34" si="12">I34*F34</f>
        <v>2677.76</v>
      </c>
      <c r="K34" s="461"/>
      <c r="L34" s="475"/>
      <c r="M34" s="475"/>
      <c r="N34" s="461"/>
      <c r="O34" s="461"/>
      <c r="P34" s="305"/>
      <c r="Q34" s="264"/>
      <c r="R34" s="318"/>
    </row>
    <row r="35" spans="1:19" ht="25.5" x14ac:dyDescent="0.25">
      <c r="A35" s="50" t="s">
        <v>76</v>
      </c>
      <c r="B35" s="18">
        <v>100577</v>
      </c>
      <c r="C35" s="18" t="s">
        <v>37</v>
      </c>
      <c r="D35" s="38" t="s">
        <v>38</v>
      </c>
      <c r="E35" s="40" t="s">
        <v>30</v>
      </c>
      <c r="F35" s="252">
        <f>'ORÇAMENTO POR RUA'!F37+'ORÇAMENTO POR RUA'!F49+'ORÇAMENTO POR RUA'!F61+'ORÇAMENTO POR RUA'!F73+'ORÇAMENTO POR RUA'!F85+'ORÇAMENTO POR RUA'!F111+'ORÇAMENTO POR RUA'!F123+'ORÇAMENTO POR RUA'!F135+'ORÇAMENTO POR RUA'!F162+'ORÇAMENTO POR RUA'!F174+'ORÇAMENTO POR RUA'!F186+'ORÇAMENTO POR RUA'!F214+'ORÇAMENTO POR RUA'!F231+'ORÇAMENTO POR RUA'!F259+'ORÇAMENTO POR RUA'!F285+'ORÇAMENTO POR RUA'!F312+'ORÇAMENTO POR RUA'!F324+'ORÇAMENTO POR RUA'!F352</f>
        <v>27274.78</v>
      </c>
      <c r="G35" s="50">
        <v>0.8</v>
      </c>
      <c r="H35" s="308">
        <f t="shared" si="10"/>
        <v>0.17</v>
      </c>
      <c r="I35" s="308">
        <f t="shared" ref="I35:I37" si="13">G35+H35</f>
        <v>0.97</v>
      </c>
      <c r="J35" s="308">
        <f t="shared" ref="J35:J37" si="14">I35*F35</f>
        <v>26456.54</v>
      </c>
      <c r="K35" s="461"/>
      <c r="L35" s="475"/>
      <c r="M35" s="475"/>
      <c r="N35" s="461"/>
      <c r="O35" s="461"/>
      <c r="P35" s="305"/>
      <c r="Q35" s="264"/>
      <c r="R35" s="318"/>
    </row>
    <row r="36" spans="1:19" ht="38.25" x14ac:dyDescent="0.25">
      <c r="A36" s="50" t="s">
        <v>81</v>
      </c>
      <c r="B36" s="775" t="s">
        <v>748</v>
      </c>
      <c r="C36" s="776"/>
      <c r="D36" s="41" t="s">
        <v>44</v>
      </c>
      <c r="E36" s="9" t="s">
        <v>30</v>
      </c>
      <c r="F36" s="252">
        <f>F35</f>
        <v>27274.78</v>
      </c>
      <c r="G36" s="302">
        <f>COMPOSIÇÕES!J82</f>
        <v>68.89</v>
      </c>
      <c r="H36" s="308">
        <f t="shared" si="10"/>
        <v>14.71</v>
      </c>
      <c r="I36" s="308">
        <f t="shared" si="13"/>
        <v>83.6</v>
      </c>
      <c r="J36" s="308">
        <f t="shared" si="14"/>
        <v>2280171.61</v>
      </c>
      <c r="K36" s="461"/>
      <c r="L36" s="475"/>
      <c r="M36" s="475"/>
      <c r="N36" s="461"/>
      <c r="O36" s="461"/>
      <c r="P36" s="305"/>
      <c r="Q36" s="264"/>
      <c r="R36" s="318"/>
    </row>
    <row r="37" spans="1:19" ht="63.75" x14ac:dyDescent="0.25">
      <c r="A37" s="50" t="s">
        <v>290</v>
      </c>
      <c r="B37" s="50">
        <v>94273</v>
      </c>
      <c r="C37" s="50" t="s">
        <v>10</v>
      </c>
      <c r="D37" s="39" t="s">
        <v>49</v>
      </c>
      <c r="E37" s="50" t="s">
        <v>42</v>
      </c>
      <c r="F37" s="252">
        <f>'ORÇAMENTO POR RUA'!F39+'ORÇAMENTO POR RUA'!F51+'ORÇAMENTO POR RUA'!F63+'ORÇAMENTO POR RUA'!F75+'ORÇAMENTO POR RUA'!F87+'ORÇAMENTO POR RUA'!F113+'ORÇAMENTO POR RUA'!F125+'ORÇAMENTO POR RUA'!F137+'ORÇAMENTO POR RUA'!F164+'ORÇAMENTO POR RUA'!F176+'ORÇAMENTO POR RUA'!F188+'ORÇAMENTO POR RUA'!F216+'ORÇAMENTO POR RUA'!F233+'ORÇAMENTO POR RUA'!F261+'ORÇAMENTO POR RUA'!F287+'ORÇAMENTO POR RUA'!F314+'ORÇAMENTO POR RUA'!F326+'ORÇAMENTO POR RUA'!F354</f>
        <v>9800.73</v>
      </c>
      <c r="G37" s="61">
        <v>50.89</v>
      </c>
      <c r="H37" s="308">
        <f t="shared" si="10"/>
        <v>10.87</v>
      </c>
      <c r="I37" s="308">
        <f t="shared" si="13"/>
        <v>61.76</v>
      </c>
      <c r="J37" s="308">
        <f t="shared" si="14"/>
        <v>605293.07999999996</v>
      </c>
      <c r="K37" s="461"/>
      <c r="L37" s="475"/>
      <c r="M37" s="475"/>
      <c r="N37" s="461"/>
      <c r="O37" s="461"/>
      <c r="P37" s="305"/>
      <c r="Q37" s="264"/>
      <c r="R37" s="318"/>
    </row>
    <row r="38" spans="1:19" x14ac:dyDescent="0.25">
      <c r="A38" s="50"/>
      <c r="B38" s="50"/>
      <c r="C38" s="50"/>
      <c r="D38" s="41"/>
      <c r="E38" s="50"/>
      <c r="F38" s="259"/>
      <c r="G38" s="50"/>
      <c r="H38" s="13"/>
      <c r="I38" s="14"/>
      <c r="J38" s="15"/>
      <c r="K38" s="461"/>
      <c r="L38" s="475"/>
      <c r="M38" s="475"/>
      <c r="N38" s="461"/>
      <c r="O38" s="461"/>
      <c r="P38" s="305"/>
      <c r="Q38" s="264"/>
      <c r="R38" s="318"/>
    </row>
    <row r="39" spans="1:19" x14ac:dyDescent="0.25">
      <c r="A39" s="265" t="s">
        <v>82</v>
      </c>
      <c r="B39" s="769" t="s">
        <v>47</v>
      </c>
      <c r="C39" s="770"/>
      <c r="D39" s="770"/>
      <c r="E39" s="770"/>
      <c r="F39" s="770"/>
      <c r="G39" s="770"/>
      <c r="H39" s="770"/>
      <c r="I39" s="771"/>
      <c r="J39" s="266">
        <f>SUM(J40:J54)</f>
        <v>602498.94999999995</v>
      </c>
      <c r="K39" s="465"/>
      <c r="L39" s="475"/>
      <c r="M39" s="475"/>
      <c r="N39" s="465"/>
      <c r="O39" s="465"/>
      <c r="P39" s="305"/>
      <c r="Q39" s="264"/>
      <c r="R39" s="318"/>
    </row>
    <row r="40" spans="1:19" x14ac:dyDescent="0.25">
      <c r="A40" s="50" t="s">
        <v>83</v>
      </c>
      <c r="B40" s="50">
        <v>99063</v>
      </c>
      <c r="C40" s="50" t="s">
        <v>10</v>
      </c>
      <c r="D40" s="36" t="s">
        <v>48</v>
      </c>
      <c r="E40" s="50" t="s">
        <v>42</v>
      </c>
      <c r="F40" s="251">
        <f>'ORÇAMENTO POR RUA'!F90+'ORÇAMENTO POR RUA'!F140+'ORÇAMENTO POR RUA'!F191+'ORÇAMENTO POR RUA'!F236+'ORÇAMENTO POR RUA'!F264+'ORÇAMENTO POR RUA'!F290+'ORÇAMENTO POR RUA'!F329+'ORÇAMENTO POR RUA'!F357</f>
        <v>542.01</v>
      </c>
      <c r="G40" s="9">
        <v>4.01</v>
      </c>
      <c r="H40" s="308">
        <f t="shared" ref="H40:H54" si="15">G40*$G$5</f>
        <v>0.86</v>
      </c>
      <c r="I40" s="308">
        <f t="shared" ref="I40" si="16">G40+H40</f>
        <v>4.87</v>
      </c>
      <c r="J40" s="308">
        <f t="shared" ref="J40" si="17">I40*F40</f>
        <v>2639.59</v>
      </c>
      <c r="K40" s="461"/>
      <c r="L40" s="475"/>
      <c r="M40" s="475"/>
      <c r="N40" s="461"/>
      <c r="O40" s="461"/>
      <c r="P40" s="305"/>
      <c r="Q40" s="264"/>
      <c r="R40" s="318"/>
    </row>
    <row r="41" spans="1:19" ht="69" customHeight="1" x14ac:dyDescent="0.25">
      <c r="A41" s="50" t="s">
        <v>87</v>
      </c>
      <c r="B41" s="50">
        <v>90082</v>
      </c>
      <c r="C41" s="50" t="s">
        <v>10</v>
      </c>
      <c r="D41" s="47" t="s">
        <v>50</v>
      </c>
      <c r="E41" s="50" t="s">
        <v>34</v>
      </c>
      <c r="F41" s="251">
        <f>'ORÇAMENTO POR RUA'!F91+'ORÇAMENTO POR RUA'!F141+'ORÇAMENTO POR RUA'!F192+'ORÇAMENTO POR RUA'!F237+'ORÇAMENTO POR RUA'!F265+'ORÇAMENTO POR RUA'!F291+'ORÇAMENTO POR RUA'!F330+'ORÇAMENTO POR RUA'!F358</f>
        <v>1219.53</v>
      </c>
      <c r="G41" s="426">
        <v>7.9</v>
      </c>
      <c r="H41" s="308">
        <f t="shared" si="15"/>
        <v>1.69</v>
      </c>
      <c r="I41" s="308">
        <f t="shared" ref="I41:I54" si="18">G41+H41</f>
        <v>9.59</v>
      </c>
      <c r="J41" s="308">
        <f t="shared" ref="J41:J54" si="19">I41*F41</f>
        <v>11695.29</v>
      </c>
      <c r="K41" s="461"/>
      <c r="L41" s="475"/>
      <c r="M41" s="475"/>
      <c r="N41" s="461"/>
      <c r="O41" s="461"/>
      <c r="P41" s="305"/>
      <c r="Q41" s="264"/>
      <c r="R41" s="318"/>
    </row>
    <row r="42" spans="1:19" ht="68.25" customHeight="1" x14ac:dyDescent="0.25">
      <c r="A42" s="50" t="s">
        <v>92</v>
      </c>
      <c r="B42" s="50">
        <v>90084</v>
      </c>
      <c r="C42" s="50" t="s">
        <v>10</v>
      </c>
      <c r="D42" s="47" t="s">
        <v>51</v>
      </c>
      <c r="E42" s="50" t="s">
        <v>34</v>
      </c>
      <c r="F42" s="251">
        <f>'ORÇAMENTO POR RUA'!F92+'ORÇAMENTO POR RUA'!F142+'ORÇAMENTO POR RUA'!F193+'ORÇAMENTO POR RUA'!F238+'ORÇAMENTO POR RUA'!F266+'ORÇAMENTO POR RUA'!F292+'ORÇAMENTO POR RUA'!F331+'ORÇAMENTO POR RUA'!F359</f>
        <v>622.20000000000005</v>
      </c>
      <c r="G42" s="50">
        <v>7.65</v>
      </c>
      <c r="H42" s="308">
        <f t="shared" si="15"/>
        <v>1.63</v>
      </c>
      <c r="I42" s="308">
        <f t="shared" si="18"/>
        <v>9.2799999999999994</v>
      </c>
      <c r="J42" s="308">
        <f t="shared" si="19"/>
        <v>5774.02</v>
      </c>
      <c r="K42" s="461"/>
      <c r="L42" s="475"/>
      <c r="M42" s="475"/>
      <c r="N42" s="461"/>
      <c r="O42" s="461"/>
      <c r="P42" s="305"/>
      <c r="Q42" s="264"/>
      <c r="R42" s="318"/>
    </row>
    <row r="43" spans="1:19" ht="55.5" customHeight="1" x14ac:dyDescent="0.25">
      <c r="A43" s="50" t="s">
        <v>291</v>
      </c>
      <c r="B43" s="261">
        <v>92210</v>
      </c>
      <c r="C43" s="261" t="s">
        <v>10</v>
      </c>
      <c r="D43" s="57" t="s">
        <v>266</v>
      </c>
      <c r="E43" s="261" t="s">
        <v>42</v>
      </c>
      <c r="F43" s="251">
        <f>'ORÇAMENTO POR RUA'!F93+'ORÇAMENTO POR RUA'!F143+'ORÇAMENTO POR RUA'!F194+'ORÇAMENTO POR RUA'!F239+'ORÇAMENTO POR RUA'!F267+'ORÇAMENTO POR RUA'!F293+'ORÇAMENTO POR RUA'!F333+'ORÇAMENTO POR RUA'!F360</f>
        <v>520.09</v>
      </c>
      <c r="G43" s="9">
        <v>107.62</v>
      </c>
      <c r="H43" s="308">
        <f t="shared" si="15"/>
        <v>22.98</v>
      </c>
      <c r="I43" s="308">
        <f t="shared" si="18"/>
        <v>130.6</v>
      </c>
      <c r="J43" s="308">
        <f t="shared" si="19"/>
        <v>67923.75</v>
      </c>
      <c r="K43" s="461"/>
      <c r="L43" s="475"/>
      <c r="M43" s="475"/>
      <c r="N43" s="461"/>
      <c r="O43" s="461"/>
      <c r="P43" s="305"/>
      <c r="Q43" s="264"/>
      <c r="R43" s="318"/>
    </row>
    <row r="44" spans="1:19" ht="57" customHeight="1" x14ac:dyDescent="0.25">
      <c r="A44" s="50" t="s">
        <v>292</v>
      </c>
      <c r="B44" s="261">
        <v>92212</v>
      </c>
      <c r="C44" s="261" t="s">
        <v>10</v>
      </c>
      <c r="D44" s="57" t="s">
        <v>52</v>
      </c>
      <c r="E44" s="261" t="s">
        <v>42</v>
      </c>
      <c r="F44" s="251">
        <f>'ORÇAMENTO POR RUA'!F332</f>
        <v>21.92</v>
      </c>
      <c r="G44" s="9">
        <v>190.42</v>
      </c>
      <c r="H44" s="308">
        <f t="shared" si="15"/>
        <v>40.65</v>
      </c>
      <c r="I44" s="308">
        <f t="shared" si="18"/>
        <v>231.07</v>
      </c>
      <c r="J44" s="308">
        <f t="shared" si="19"/>
        <v>5065.05</v>
      </c>
      <c r="K44" s="458"/>
      <c r="L44" s="475"/>
      <c r="M44" s="475"/>
      <c r="N44" s="458"/>
      <c r="O44" s="458"/>
      <c r="P44" s="305"/>
      <c r="Q44" s="264"/>
      <c r="R44" s="318"/>
    </row>
    <row r="45" spans="1:19" ht="45.75" customHeight="1" x14ac:dyDescent="0.25">
      <c r="A45" s="50" t="s">
        <v>293</v>
      </c>
      <c r="B45" s="50">
        <v>101620</v>
      </c>
      <c r="C45" s="50" t="s">
        <v>10</v>
      </c>
      <c r="D45" s="47" t="s">
        <v>53</v>
      </c>
      <c r="E45" s="50" t="s">
        <v>34</v>
      </c>
      <c r="F45" s="251">
        <f>'ORÇAMENTO POR RUA'!F94+'ORÇAMENTO POR RUA'!F144+'ORÇAMENTO POR RUA'!F195+'ORÇAMENTO POR RUA'!F240+'ORÇAMENTO POR RUA'!F268+'ORÇAMENTO POR RUA'!F294+'ORÇAMENTO POR RUA'!F334+'ORÇAMENTO POR RUA'!F361</f>
        <v>239.54</v>
      </c>
      <c r="G45" s="9">
        <v>155.78</v>
      </c>
      <c r="H45" s="308">
        <f t="shared" si="15"/>
        <v>33.26</v>
      </c>
      <c r="I45" s="308">
        <f t="shared" si="18"/>
        <v>189.04</v>
      </c>
      <c r="J45" s="308">
        <f t="shared" si="19"/>
        <v>45282.64</v>
      </c>
      <c r="K45" s="458"/>
      <c r="L45" s="475"/>
      <c r="M45" s="475"/>
      <c r="N45" s="458"/>
      <c r="O45" s="458"/>
      <c r="P45" s="305"/>
      <c r="Q45" s="264"/>
      <c r="R45" s="318"/>
    </row>
    <row r="46" spans="1:19" ht="26.25" x14ac:dyDescent="0.25">
      <c r="A46" s="50" t="s">
        <v>294</v>
      </c>
      <c r="B46" s="18">
        <v>93382</v>
      </c>
      <c r="C46" s="18" t="s">
        <v>10</v>
      </c>
      <c r="D46" s="444" t="s">
        <v>271</v>
      </c>
      <c r="E46" s="18" t="s">
        <v>34</v>
      </c>
      <c r="F46" s="306">
        <f>'ORÇAMENTO POR RUA'!F95+'ORÇAMENTO POR RUA'!F145+'ORÇAMENTO POR RUA'!F196+'ORÇAMENTO POR RUA'!F241+'ORÇAMENTO POR RUA'!F269+'ORÇAMENTO POR RUA'!F295+'ORÇAMENTO POR RUA'!F335+'ORÇAMENTO POR RUA'!F362</f>
        <v>1594.76</v>
      </c>
      <c r="G46" s="302">
        <v>22.91</v>
      </c>
      <c r="H46" s="308">
        <f t="shared" si="15"/>
        <v>4.8899999999999997</v>
      </c>
      <c r="I46" s="308">
        <f t="shared" si="18"/>
        <v>27.8</v>
      </c>
      <c r="J46" s="308">
        <f t="shared" si="19"/>
        <v>44334.33</v>
      </c>
      <c r="K46" s="468"/>
      <c r="L46" s="475"/>
      <c r="M46" s="475"/>
      <c r="N46" s="468"/>
      <c r="O46" s="468"/>
      <c r="P46" s="305"/>
      <c r="Q46" s="264"/>
      <c r="R46" s="318"/>
    </row>
    <row r="47" spans="1:19" ht="51" x14ac:dyDescent="0.25">
      <c r="A47" s="50" t="s">
        <v>295</v>
      </c>
      <c r="B47" s="18">
        <v>100973</v>
      </c>
      <c r="C47" s="18" t="s">
        <v>10</v>
      </c>
      <c r="D47" s="11" t="s">
        <v>45</v>
      </c>
      <c r="E47" s="18" t="s">
        <v>34</v>
      </c>
      <c r="F47" s="267">
        <f>'ORÇAMENTO POR RUA'!F96+'ORÇAMENTO POR RUA'!F146+'ORÇAMENTO POR RUA'!F197+'ORÇAMENTO POR RUA'!F242+'ORÇAMENTO POR RUA'!F270+'ORÇAMENTO POR RUA'!F296+'ORÇAMENTO POR RUA'!F336+'ORÇAMENTO POR RUA'!F363</f>
        <v>246.97</v>
      </c>
      <c r="G47" s="18">
        <v>6.43</v>
      </c>
      <c r="H47" s="308">
        <f t="shared" si="15"/>
        <v>1.37</v>
      </c>
      <c r="I47" s="308">
        <f t="shared" si="18"/>
        <v>7.8</v>
      </c>
      <c r="J47" s="308">
        <f t="shared" si="19"/>
        <v>1926.37</v>
      </c>
      <c r="K47" s="466"/>
      <c r="L47" s="475"/>
      <c r="M47" s="475"/>
      <c r="N47" s="466"/>
      <c r="O47" s="466"/>
      <c r="P47" s="272"/>
      <c r="Q47" s="264"/>
      <c r="R47" s="447"/>
      <c r="S47" s="108"/>
    </row>
    <row r="48" spans="1:19" ht="25.5" x14ac:dyDescent="0.25">
      <c r="A48" s="50" t="s">
        <v>692</v>
      </c>
      <c r="B48" s="40">
        <v>97913</v>
      </c>
      <c r="C48" s="18" t="s">
        <v>10</v>
      </c>
      <c r="D48" s="562" t="s">
        <v>54</v>
      </c>
      <c r="E48" s="40" t="s">
        <v>55</v>
      </c>
      <c r="F48" s="306">
        <f>'ORÇAMENTO POR RUA'!F97+'ORÇAMENTO POR RUA'!F147+'ORÇAMENTO POR RUA'!F198+'ORÇAMENTO POR RUA'!F243+'ORÇAMENTO POR RUA'!F271+'ORÇAMENTO POR RUA'!F297+'ORÇAMENTO POR RUA'!F337+'ORÇAMENTO POR RUA'!F364</f>
        <v>1466.97</v>
      </c>
      <c r="G48" s="18">
        <v>2.2799999999999998</v>
      </c>
      <c r="H48" s="308">
        <f t="shared" si="15"/>
        <v>0.49</v>
      </c>
      <c r="I48" s="308">
        <f t="shared" si="18"/>
        <v>2.77</v>
      </c>
      <c r="J48" s="308">
        <f t="shared" si="19"/>
        <v>4063.51</v>
      </c>
      <c r="K48" s="466"/>
      <c r="L48" s="475"/>
      <c r="M48" s="475"/>
      <c r="N48" s="461"/>
      <c r="O48" s="461"/>
      <c r="P48" s="305"/>
      <c r="Q48" s="264"/>
      <c r="R48" s="306"/>
    </row>
    <row r="49" spans="1:18" ht="38.25" x14ac:dyDescent="0.25">
      <c r="A49" s="50" t="s">
        <v>693</v>
      </c>
      <c r="B49" s="18">
        <v>101572</v>
      </c>
      <c r="C49" s="18" t="s">
        <v>10</v>
      </c>
      <c r="D49" s="321" t="s">
        <v>275</v>
      </c>
      <c r="E49" s="322" t="s">
        <v>30</v>
      </c>
      <c r="F49" s="267">
        <f>'ORÇAMENTO POR RUA'!F98+'ORÇAMENTO POR RUA'!F148+'ORÇAMENTO POR RUA'!F199+'ORÇAMENTO POR RUA'!F244+'ORÇAMENTO POR RUA'!F272+'ORÇAMENTO POR RUA'!F298+'ORÇAMENTO POR RUA'!F338+'ORÇAMENTO POR RUA'!F365</f>
        <v>2292.9899999999998</v>
      </c>
      <c r="G49" s="18">
        <v>13.11</v>
      </c>
      <c r="H49" s="308">
        <f t="shared" si="15"/>
        <v>2.8</v>
      </c>
      <c r="I49" s="308">
        <f t="shared" si="18"/>
        <v>15.91</v>
      </c>
      <c r="J49" s="308">
        <f t="shared" si="19"/>
        <v>36481.47</v>
      </c>
      <c r="K49" s="468"/>
      <c r="L49" s="475"/>
      <c r="M49" s="475"/>
      <c r="N49" s="468"/>
      <c r="O49" s="468"/>
      <c r="P49" s="305"/>
      <c r="Q49" s="264"/>
      <c r="R49" s="318"/>
    </row>
    <row r="50" spans="1:18" ht="51" x14ac:dyDescent="0.25">
      <c r="A50" s="50" t="s">
        <v>694</v>
      </c>
      <c r="B50" s="50">
        <v>99290</v>
      </c>
      <c r="C50" s="261" t="s">
        <v>10</v>
      </c>
      <c r="D50" s="39" t="s">
        <v>56</v>
      </c>
      <c r="E50" s="50" t="s">
        <v>57</v>
      </c>
      <c r="F50" s="251">
        <f>'ORÇAMENTO POR RUA'!F339</f>
        <v>1</v>
      </c>
      <c r="G50" s="50">
        <v>3223.99</v>
      </c>
      <c r="H50" s="308">
        <f t="shared" si="15"/>
        <v>688.32</v>
      </c>
      <c r="I50" s="308">
        <f t="shared" si="18"/>
        <v>3912.31</v>
      </c>
      <c r="J50" s="308">
        <f t="shared" si="19"/>
        <v>3912.31</v>
      </c>
      <c r="K50" s="461"/>
      <c r="L50" s="475"/>
      <c r="M50" s="475"/>
      <c r="N50" s="461"/>
      <c r="O50" s="461"/>
      <c r="P50" s="305"/>
      <c r="Q50" s="264"/>
      <c r="R50" s="318"/>
    </row>
    <row r="51" spans="1:18" ht="39" x14ac:dyDescent="0.25">
      <c r="A51" s="50" t="s">
        <v>695</v>
      </c>
      <c r="B51" s="50">
        <v>99241</v>
      </c>
      <c r="C51" s="261" t="s">
        <v>10</v>
      </c>
      <c r="D51" s="47" t="s">
        <v>58</v>
      </c>
      <c r="E51" s="50" t="s">
        <v>42</v>
      </c>
      <c r="F51" s="251">
        <f>'ORÇAMENTO POR RUA'!F99+'ORÇAMENTO POR RUA'!F149+'ORÇAMENTO POR RUA'!F200+'ORÇAMENTO POR RUA'!F219+'ORÇAMENTO POR RUA'!F245+'ORÇAMENTO POR RUA'!F273+'ORÇAMENTO POR RUA'!F299+'ORÇAMENTO POR RUA'!F340+'ORÇAMENTO POR RUA'!F366</f>
        <v>30.6</v>
      </c>
      <c r="G51" s="50">
        <v>1218.05</v>
      </c>
      <c r="H51" s="308">
        <f t="shared" si="15"/>
        <v>260.05</v>
      </c>
      <c r="I51" s="308">
        <f t="shared" si="18"/>
        <v>1478.1</v>
      </c>
      <c r="J51" s="308">
        <f t="shared" si="19"/>
        <v>45229.86</v>
      </c>
      <c r="K51" s="461"/>
      <c r="L51" s="475"/>
      <c r="M51" s="475"/>
      <c r="N51" s="461"/>
      <c r="O51" s="461"/>
      <c r="P51" s="272"/>
      <c r="Q51" s="264"/>
      <c r="R51" s="318"/>
    </row>
    <row r="52" spans="1:18" ht="39" x14ac:dyDescent="0.25">
      <c r="A52" s="50" t="s">
        <v>696</v>
      </c>
      <c r="B52" s="50">
        <v>97961</v>
      </c>
      <c r="C52" s="261" t="s">
        <v>10</v>
      </c>
      <c r="D52" s="47" t="s">
        <v>273</v>
      </c>
      <c r="E52" s="50" t="s">
        <v>57</v>
      </c>
      <c r="F52" s="251">
        <f>'ORÇAMENTO POR RUA'!F151+'ORÇAMENTO POR RUA'!F201+'ORÇAMENTO POR RUA'!F246+'ORÇAMENTO POR RUA'!F300+'ORÇAMENTO POR RUA'!F341+'ORÇAMENTO POR RUA'!F367</f>
        <v>21</v>
      </c>
      <c r="G52" s="50">
        <v>1668.77</v>
      </c>
      <c r="H52" s="308">
        <f t="shared" si="15"/>
        <v>356.28</v>
      </c>
      <c r="I52" s="308">
        <f t="shared" si="18"/>
        <v>2025.05</v>
      </c>
      <c r="J52" s="308">
        <f t="shared" si="19"/>
        <v>42526.05</v>
      </c>
      <c r="K52" s="461"/>
      <c r="L52" s="475"/>
      <c r="M52" s="475"/>
      <c r="N52" s="461"/>
      <c r="O52" s="461"/>
      <c r="P52" s="272"/>
      <c r="Q52" s="264"/>
      <c r="R52" s="318"/>
    </row>
    <row r="53" spans="1:18" ht="39" x14ac:dyDescent="0.25">
      <c r="A53" s="50" t="s">
        <v>697</v>
      </c>
      <c r="B53" s="304">
        <v>97973</v>
      </c>
      <c r="C53" s="304" t="s">
        <v>10</v>
      </c>
      <c r="D53" s="57" t="s">
        <v>445</v>
      </c>
      <c r="E53" s="304" t="s">
        <v>57</v>
      </c>
      <c r="F53" s="252">
        <f>'ORÇAMENTO POR RUA'!F100+'ORÇAMENTO POR RUA'!F151+'ORÇAMENTO POR RUA'!F202+'ORÇAMENTO POR RUA'!F247+'ORÇAMENTO POR RUA'!F274+'ORÇAMENTO POR RUA'!F301</f>
        <v>61</v>
      </c>
      <c r="G53" s="304">
        <v>3194.57</v>
      </c>
      <c r="H53" s="308">
        <f t="shared" si="15"/>
        <v>682.04</v>
      </c>
      <c r="I53" s="308">
        <f t="shared" si="18"/>
        <v>3876.61</v>
      </c>
      <c r="J53" s="308">
        <f t="shared" si="19"/>
        <v>236473.21</v>
      </c>
      <c r="K53" s="458"/>
      <c r="L53" s="475"/>
      <c r="M53" s="475"/>
      <c r="N53" s="458"/>
      <c r="O53" s="458"/>
      <c r="P53" s="305"/>
      <c r="Q53" s="264"/>
      <c r="R53" s="318"/>
    </row>
    <row r="54" spans="1:18" ht="38.25" x14ac:dyDescent="0.25">
      <c r="A54" s="50" t="s">
        <v>698</v>
      </c>
      <c r="B54" s="775" t="s">
        <v>835</v>
      </c>
      <c r="C54" s="776"/>
      <c r="D54" s="41" t="s">
        <v>274</v>
      </c>
      <c r="E54" s="261" t="s">
        <v>57</v>
      </c>
      <c r="F54" s="251">
        <f>'ORÇAMENTO POR RUA'!F101+'ORÇAMENTO POR RUA'!F152+'ORÇAMENTO POR RUA'!F203+'ORÇAMENTO POR RUA'!F220+'ORÇAMENTO POR RUA'!F248+'ORÇAMENTO POR RUA'!F275+'ORÇAMENTO POR RUA'!F302+'ORÇAMENTO POR RUA'!F342+'ORÇAMENTO POR RUA'!F368</f>
        <v>50</v>
      </c>
      <c r="G54" s="9">
        <f>COMPOSIÇÕES!J92</f>
        <v>810.41</v>
      </c>
      <c r="H54" s="308">
        <f t="shared" si="15"/>
        <v>173.02</v>
      </c>
      <c r="I54" s="308">
        <f t="shared" si="18"/>
        <v>983.43</v>
      </c>
      <c r="J54" s="308">
        <f t="shared" si="19"/>
        <v>49171.5</v>
      </c>
      <c r="K54" s="461"/>
      <c r="L54" s="475"/>
      <c r="M54" s="475"/>
      <c r="N54" s="461"/>
      <c r="O54" s="461"/>
      <c r="P54" s="445"/>
      <c r="Q54" s="264"/>
      <c r="R54" s="318"/>
    </row>
    <row r="55" spans="1:18" x14ac:dyDescent="0.25">
      <c r="A55" s="50"/>
      <c r="B55" s="304"/>
      <c r="C55" s="304"/>
      <c r="D55" s="57"/>
      <c r="E55" s="304"/>
      <c r="F55" s="251"/>
      <c r="G55" s="50"/>
      <c r="H55" s="13"/>
      <c r="I55" s="14"/>
      <c r="J55" s="15"/>
      <c r="K55" s="461"/>
      <c r="L55" s="480"/>
      <c r="M55" s="480"/>
      <c r="N55" s="461"/>
      <c r="O55" s="461"/>
      <c r="Q55" s="264"/>
      <c r="R55" s="318"/>
    </row>
    <row r="56" spans="1:18" x14ac:dyDescent="0.25">
      <c r="A56" s="772" t="s">
        <v>784</v>
      </c>
      <c r="B56" s="773"/>
      <c r="C56" s="773"/>
      <c r="D56" s="773"/>
      <c r="E56" s="773"/>
      <c r="F56" s="773"/>
      <c r="G56" s="773"/>
      <c r="H56" s="773"/>
      <c r="I56" s="774"/>
      <c r="J56" s="438">
        <f>J39+J33+J28+J21+J13+J10</f>
        <v>3805569.25</v>
      </c>
      <c r="K56" s="438"/>
      <c r="L56" s="481"/>
      <c r="M56" s="438"/>
      <c r="N56" s="438"/>
      <c r="O56" s="438"/>
      <c r="Q56" s="264"/>
      <c r="R56" s="318"/>
    </row>
    <row r="57" spans="1:18" x14ac:dyDescent="0.25">
      <c r="A57" s="772" t="s">
        <v>296</v>
      </c>
      <c r="B57" s="773"/>
      <c r="C57" s="773"/>
      <c r="D57" s="773"/>
      <c r="E57" s="773"/>
      <c r="F57" s="773"/>
      <c r="G57" s="773"/>
      <c r="H57" s="773"/>
      <c r="I57" s="774"/>
      <c r="J57" s="258">
        <f>J56-J58</f>
        <v>811443.65</v>
      </c>
      <c r="K57" s="469"/>
      <c r="L57" s="482"/>
      <c r="M57" s="469"/>
      <c r="N57" s="469"/>
      <c r="O57" s="469"/>
      <c r="Q57" s="264"/>
      <c r="R57" s="318"/>
    </row>
    <row r="58" spans="1:18" x14ac:dyDescent="0.25">
      <c r="A58" s="772" t="s">
        <v>785</v>
      </c>
      <c r="B58" s="773"/>
      <c r="C58" s="773"/>
      <c r="D58" s="773"/>
      <c r="E58" s="773"/>
      <c r="F58" s="773"/>
      <c r="G58" s="773"/>
      <c r="H58" s="773"/>
      <c r="I58" s="774"/>
      <c r="J58" s="258">
        <f>(J56-(J16+J17))-(J56-(J16+J17))*G5+((J16+J17)-(J16+J17)*G6)</f>
        <v>2994125.6</v>
      </c>
      <c r="K58" s="469"/>
      <c r="L58" s="482"/>
      <c r="M58" s="469"/>
      <c r="N58" s="469"/>
      <c r="O58" s="469"/>
      <c r="Q58" s="264"/>
      <c r="R58" s="318"/>
    </row>
    <row r="59" spans="1:18" ht="33.6" customHeight="1" x14ac:dyDescent="0.25">
      <c r="A59" s="761" t="s">
        <v>830</v>
      </c>
      <c r="B59" s="762"/>
      <c r="C59" s="762"/>
      <c r="D59" s="762"/>
      <c r="E59" s="762"/>
      <c r="F59" s="762"/>
      <c r="G59" s="762"/>
      <c r="H59" s="762"/>
      <c r="I59" s="762"/>
      <c r="J59" s="763"/>
      <c r="K59" s="470"/>
      <c r="L59" s="483"/>
      <c r="M59" s="470"/>
      <c r="N59" s="470"/>
      <c r="O59" s="470"/>
      <c r="Q59" s="264"/>
      <c r="R59" s="318"/>
    </row>
    <row r="60" spans="1:18" ht="14.45" customHeight="1" x14ac:dyDescent="0.25">
      <c r="Q60" s="264"/>
      <c r="R60" s="318"/>
    </row>
    <row r="61" spans="1:18" x14ac:dyDescent="0.25">
      <c r="A61" s="764" t="s">
        <v>278</v>
      </c>
      <c r="B61" s="764"/>
      <c r="C61" s="764"/>
      <c r="D61" s="764"/>
      <c r="E61" s="765" t="s">
        <v>277</v>
      </c>
      <c r="F61" s="766"/>
      <c r="G61" s="766"/>
      <c r="H61" s="766"/>
      <c r="I61" s="766"/>
      <c r="J61" s="766"/>
      <c r="K61" s="471"/>
      <c r="L61" s="485"/>
      <c r="M61" s="471"/>
      <c r="N61" s="471"/>
      <c r="O61" s="471"/>
      <c r="Q61" s="264"/>
      <c r="R61" s="318"/>
    </row>
    <row r="62" spans="1:18" x14ac:dyDescent="0.25">
      <c r="A62" s="764"/>
      <c r="B62" s="764"/>
      <c r="C62" s="764"/>
      <c r="D62" s="764"/>
      <c r="E62" s="767"/>
      <c r="F62" s="768"/>
      <c r="G62" s="768"/>
      <c r="H62" s="768"/>
      <c r="I62" s="768"/>
      <c r="J62" s="768"/>
      <c r="K62" s="694"/>
      <c r="L62" s="486"/>
      <c r="M62" s="437"/>
      <c r="N62" s="437"/>
      <c r="O62" s="437"/>
      <c r="Q62" s="264"/>
      <c r="R62" s="318"/>
    </row>
    <row r="63" spans="1:18" x14ac:dyDescent="0.25">
      <c r="A63" s="764"/>
      <c r="B63" s="764"/>
      <c r="C63" s="764"/>
      <c r="D63" s="764"/>
      <c r="E63" s="767"/>
      <c r="F63" s="768"/>
      <c r="G63" s="768"/>
      <c r="H63" s="768"/>
      <c r="I63" s="768"/>
      <c r="J63" s="768"/>
      <c r="K63" s="437"/>
      <c r="L63" s="486"/>
      <c r="M63" s="437"/>
      <c r="N63" s="437"/>
      <c r="O63" s="437"/>
      <c r="Q63" s="264"/>
      <c r="R63" s="318"/>
    </row>
    <row r="64" spans="1:18" x14ac:dyDescent="0.25">
      <c r="A64" s="764"/>
      <c r="B64" s="764"/>
      <c r="C64" s="764"/>
      <c r="D64" s="764"/>
      <c r="E64" s="767"/>
      <c r="F64" s="768"/>
      <c r="G64" s="768"/>
      <c r="H64" s="768"/>
      <c r="I64" s="768"/>
      <c r="J64" s="768"/>
      <c r="K64" s="437"/>
      <c r="L64" s="486"/>
      <c r="M64" s="437"/>
      <c r="N64" s="437"/>
      <c r="O64" s="437"/>
      <c r="Q64" s="264"/>
      <c r="R64" s="318"/>
    </row>
    <row r="65" spans="1:19" x14ac:dyDescent="0.25">
      <c r="A65" s="764"/>
      <c r="B65" s="764"/>
      <c r="C65" s="764"/>
      <c r="D65" s="764"/>
      <c r="E65" s="767"/>
      <c r="F65" s="768"/>
      <c r="G65" s="768"/>
      <c r="H65" s="768"/>
      <c r="I65" s="768"/>
      <c r="J65" s="768"/>
      <c r="K65" s="437"/>
      <c r="L65" s="486"/>
      <c r="M65" s="437"/>
      <c r="N65" s="437"/>
      <c r="O65" s="437"/>
      <c r="P65" s="272"/>
      <c r="Q65" s="264"/>
      <c r="R65" s="318"/>
    </row>
    <row r="66" spans="1:19" x14ac:dyDescent="0.25">
      <c r="P66" s="272"/>
      <c r="Q66" s="264"/>
      <c r="R66" s="318"/>
    </row>
    <row r="67" spans="1:19" x14ac:dyDescent="0.25">
      <c r="P67" s="272"/>
      <c r="Q67" s="264"/>
      <c r="R67" s="318"/>
    </row>
    <row r="68" spans="1:19" x14ac:dyDescent="0.25">
      <c r="P68" s="272"/>
      <c r="Q68" s="264"/>
      <c r="R68" s="318"/>
    </row>
    <row r="69" spans="1:19" x14ac:dyDescent="0.25">
      <c r="P69" s="272"/>
      <c r="Q69" s="264"/>
      <c r="R69" s="318"/>
    </row>
    <row r="70" spans="1:19" x14ac:dyDescent="0.25">
      <c r="P70" s="272"/>
      <c r="Q70" s="264"/>
      <c r="R70" s="318"/>
    </row>
    <row r="71" spans="1:19" x14ac:dyDescent="0.25">
      <c r="P71" s="272"/>
      <c r="Q71" s="264"/>
      <c r="R71" s="318"/>
    </row>
    <row r="72" spans="1:19" x14ac:dyDescent="0.25">
      <c r="P72" s="272"/>
      <c r="Q72" s="264"/>
      <c r="R72" s="318"/>
    </row>
    <row r="73" spans="1:19" x14ac:dyDescent="0.25">
      <c r="Q73" s="264"/>
      <c r="R73" s="318"/>
    </row>
    <row r="74" spans="1:19" x14ac:dyDescent="0.25">
      <c r="Q74" s="264"/>
    </row>
    <row r="75" spans="1:19" x14ac:dyDescent="0.25">
      <c r="R75" s="264"/>
      <c r="S75" s="264"/>
    </row>
    <row r="78" spans="1:19" ht="34.9" customHeight="1" x14ac:dyDescent="0.25"/>
    <row r="348" ht="36.6" customHeight="1" x14ac:dyDescent="0.25"/>
    <row r="381" ht="35.450000000000003" customHeight="1" x14ac:dyDescent="0.25"/>
    <row r="385" ht="32.450000000000003" customHeight="1" x14ac:dyDescent="0.25"/>
  </sheetData>
  <autoFilter ref="A9:J94" xr:uid="{00000000-0009-0000-0000-000000000000}"/>
  <mergeCells count="31">
    <mergeCell ref="B18:C18"/>
    <mergeCell ref="B54:C54"/>
    <mergeCell ref="B21:I21"/>
    <mergeCell ref="E5:F5"/>
    <mergeCell ref="G5:J5"/>
    <mergeCell ref="E7:F7"/>
    <mergeCell ref="G7:J7"/>
    <mergeCell ref="B8:J8"/>
    <mergeCell ref="B10:I10"/>
    <mergeCell ref="B13:I13"/>
    <mergeCell ref="B11:C11"/>
    <mergeCell ref="B14:C14"/>
    <mergeCell ref="B15:C15"/>
    <mergeCell ref="E6:F6"/>
    <mergeCell ref="G6:J6"/>
    <mergeCell ref="B24:C24"/>
    <mergeCell ref="E1:J1"/>
    <mergeCell ref="E2:F3"/>
    <mergeCell ref="G2:J3"/>
    <mergeCell ref="E4:F4"/>
    <mergeCell ref="G4:J4"/>
    <mergeCell ref="A59:J59"/>
    <mergeCell ref="A61:D65"/>
    <mergeCell ref="E61:J65"/>
    <mergeCell ref="B28:I28"/>
    <mergeCell ref="B33:I33"/>
    <mergeCell ref="B39:I39"/>
    <mergeCell ref="A58:I58"/>
    <mergeCell ref="B36:C36"/>
    <mergeCell ref="A57:I57"/>
    <mergeCell ref="A56:I56"/>
  </mergeCells>
  <printOptions horizontalCentered="1"/>
  <pageMargins left="0.31496062992125984" right="0.31496062992125984" top="0.27559055118110237" bottom="0.27559055118110237" header="0" footer="0"/>
  <pageSetup paperSize="9" scale="89" fitToHeight="0" orientation="landscape" r:id="rId1"/>
  <headerFooter>
    <oddFooter>&amp;C&amp;"Arial Narrow,Normal"Página &amp;P</oddFooter>
  </headerFooter>
  <rowBreaks count="1" manualBreakCount="1">
    <brk id="48" max="9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9"/>
    <pageSetUpPr fitToPage="1"/>
  </sheetPr>
  <dimension ref="A1:D52"/>
  <sheetViews>
    <sheetView view="pageBreakPreview" topLeftCell="A37" zoomScaleNormal="100" zoomScaleSheetLayoutView="100" workbookViewId="0">
      <selection activeCell="C16" sqref="C16"/>
    </sheetView>
  </sheetViews>
  <sheetFormatPr defaultRowHeight="15" x14ac:dyDescent="0.25"/>
  <cols>
    <col min="1" max="1" width="29.7109375" customWidth="1"/>
    <col min="2" max="2" width="16.42578125" customWidth="1"/>
    <col min="3" max="3" width="16.85546875" customWidth="1"/>
    <col min="4" max="4" width="18" customWidth="1"/>
    <col min="7" max="7" width="19.28515625" customWidth="1"/>
  </cols>
  <sheetData>
    <row r="1" spans="1:4" x14ac:dyDescent="0.25">
      <c r="A1" s="204"/>
      <c r="B1" s="205"/>
      <c r="C1" s="205"/>
      <c r="D1" s="206"/>
    </row>
    <row r="2" spans="1:4" x14ac:dyDescent="0.25">
      <c r="A2" s="207"/>
      <c r="B2" s="208"/>
      <c r="C2" s="208"/>
      <c r="D2" s="209"/>
    </row>
    <row r="3" spans="1:4" ht="20.25" x14ac:dyDescent="0.25">
      <c r="A3" s="207"/>
      <c r="B3" s="863" t="s">
        <v>0</v>
      </c>
      <c r="C3" s="863"/>
      <c r="D3" s="864"/>
    </row>
    <row r="4" spans="1:4" x14ac:dyDescent="0.25">
      <c r="A4" s="207"/>
      <c r="B4" s="865" t="s">
        <v>1</v>
      </c>
      <c r="C4" s="865"/>
      <c r="D4" s="866"/>
    </row>
    <row r="5" spans="1:4" x14ac:dyDescent="0.25">
      <c r="A5" s="207"/>
      <c r="B5" s="208"/>
      <c r="C5" s="208"/>
      <c r="D5" s="209"/>
    </row>
    <row r="6" spans="1:4" x14ac:dyDescent="0.25">
      <c r="A6" s="210"/>
      <c r="B6" s="211"/>
      <c r="C6" s="211"/>
      <c r="D6" s="212"/>
    </row>
    <row r="7" spans="1:4" ht="16.5" x14ac:dyDescent="0.3">
      <c r="A7" s="62"/>
      <c r="B7" s="62"/>
      <c r="C7" s="62"/>
      <c r="D7" s="62"/>
    </row>
    <row r="8" spans="1:4" x14ac:dyDescent="0.25">
      <c r="A8" s="1023" t="s">
        <v>831</v>
      </c>
      <c r="B8" s="1023"/>
      <c r="C8" s="1023"/>
      <c r="D8" s="1023"/>
    </row>
    <row r="9" spans="1:4" x14ac:dyDescent="0.25">
      <c r="A9" s="281"/>
      <c r="B9" s="281"/>
      <c r="C9" s="281"/>
      <c r="D9" s="281"/>
    </row>
    <row r="10" spans="1:4" x14ac:dyDescent="0.25">
      <c r="A10" s="282" t="s">
        <v>309</v>
      </c>
      <c r="B10" s="283"/>
      <c r="C10" s="283"/>
      <c r="D10" s="695"/>
    </row>
    <row r="11" spans="1:4" x14ac:dyDescent="0.25">
      <c r="A11" s="1024" t="s">
        <v>314</v>
      </c>
      <c r="B11" s="1025"/>
      <c r="C11" s="1025"/>
      <c r="D11" s="1026"/>
    </row>
    <row r="12" spans="1:4" x14ac:dyDescent="0.25">
      <c r="A12" s="284"/>
      <c r="B12" s="284"/>
      <c r="C12" s="284"/>
      <c r="D12" s="284"/>
    </row>
    <row r="13" spans="1:4" x14ac:dyDescent="0.25">
      <c r="A13" s="282" t="s">
        <v>310</v>
      </c>
      <c r="B13" s="283"/>
      <c r="C13" s="283"/>
      <c r="D13" s="695"/>
    </row>
    <row r="14" spans="1:4" ht="40.15" customHeight="1" x14ac:dyDescent="0.25">
      <c r="A14" s="1027" t="s">
        <v>699</v>
      </c>
      <c r="B14" s="1028"/>
      <c r="C14" s="1028"/>
      <c r="D14" s="1029"/>
    </row>
    <row r="15" spans="1:4" x14ac:dyDescent="0.25">
      <c r="A15" s="284"/>
      <c r="B15" s="284"/>
      <c r="C15" s="284"/>
      <c r="D15" s="284"/>
    </row>
    <row r="16" spans="1:4" x14ac:dyDescent="0.25">
      <c r="A16" s="285" t="s">
        <v>311</v>
      </c>
      <c r="B16" s="283"/>
      <c r="C16" s="283"/>
      <c r="D16" s="286" t="s">
        <v>312</v>
      </c>
    </row>
    <row r="17" spans="1:4" ht="26.45" customHeight="1" x14ac:dyDescent="0.25">
      <c r="A17" s="1027" t="s">
        <v>749</v>
      </c>
      <c r="B17" s="1028"/>
      <c r="C17" s="1029"/>
      <c r="D17" s="287" t="s">
        <v>750</v>
      </c>
    </row>
    <row r="18" spans="1:4" ht="15.75" thickBot="1" x14ac:dyDescent="0.3">
      <c r="A18" s="631"/>
      <c r="B18" s="631"/>
      <c r="C18" s="631"/>
      <c r="D18" s="631"/>
    </row>
    <row r="19" spans="1:4" ht="31.15" customHeight="1" thickTop="1" thickBot="1" x14ac:dyDescent="0.3">
      <c r="A19" s="1030" t="s">
        <v>751</v>
      </c>
      <c r="B19" s="1031"/>
      <c r="C19" s="1031"/>
      <c r="D19" s="1032"/>
    </row>
    <row r="20" spans="1:4" ht="18" thickTop="1" thickBot="1" x14ac:dyDescent="0.35">
      <c r="A20" s="632"/>
      <c r="B20" s="633"/>
      <c r="C20" s="633"/>
      <c r="D20" s="634"/>
    </row>
    <row r="21" spans="1:4" ht="27" customHeight="1" thickTop="1" x14ac:dyDescent="0.25">
      <c r="A21" s="1033" t="s">
        <v>752</v>
      </c>
      <c r="B21" s="1034"/>
      <c r="C21" s="1034"/>
      <c r="D21" s="1035"/>
    </row>
    <row r="22" spans="1:4" ht="15.75" thickBot="1" x14ac:dyDescent="0.3">
      <c r="A22" s="1036" t="s">
        <v>753</v>
      </c>
      <c r="B22" s="1037"/>
      <c r="C22" s="1037"/>
      <c r="D22" s="1038"/>
    </row>
    <row r="23" spans="1:4" ht="17.25" thickTop="1" x14ac:dyDescent="0.3">
      <c r="A23" s="635" t="s">
        <v>3</v>
      </c>
      <c r="B23" s="636" t="s">
        <v>754</v>
      </c>
      <c r="C23" s="636" t="s">
        <v>313</v>
      </c>
      <c r="D23" s="637" t="s">
        <v>755</v>
      </c>
    </row>
    <row r="24" spans="1:4" x14ac:dyDescent="0.25">
      <c r="A24" s="638" t="s">
        <v>756</v>
      </c>
      <c r="B24" s="639">
        <v>3.2000000000000002E-3</v>
      </c>
      <c r="C24" s="639">
        <v>4.0000000000000001E-3</v>
      </c>
      <c r="D24" s="640">
        <v>7.4000000000000003E-3</v>
      </c>
    </row>
    <row r="25" spans="1:4" x14ac:dyDescent="0.25">
      <c r="A25" s="638" t="s">
        <v>757</v>
      </c>
      <c r="B25" s="639">
        <v>5.0000000000000001E-3</v>
      </c>
      <c r="C25" s="639">
        <v>5.5999999999999999E-3</v>
      </c>
      <c r="D25" s="640">
        <v>9.7000000000000003E-3</v>
      </c>
    </row>
    <row r="26" spans="1:4" x14ac:dyDescent="0.25">
      <c r="A26" s="641" t="s">
        <v>758</v>
      </c>
      <c r="B26" s="639">
        <v>1.0200000000000001E-2</v>
      </c>
      <c r="C26" s="639">
        <v>1.11E-2</v>
      </c>
      <c r="D26" s="640">
        <v>1.21E-2</v>
      </c>
    </row>
    <row r="27" spans="1:4" x14ac:dyDescent="0.25">
      <c r="A27" s="641" t="s">
        <v>759</v>
      </c>
      <c r="B27" s="639">
        <v>3.7999999999999999E-2</v>
      </c>
      <c r="C27" s="639">
        <v>4.0099999999999997E-2</v>
      </c>
      <c r="D27" s="640">
        <v>4.6699999999999998E-2</v>
      </c>
    </row>
    <row r="28" spans="1:4" x14ac:dyDescent="0.25">
      <c r="A28" s="641" t="s">
        <v>760</v>
      </c>
      <c r="B28" s="639">
        <v>6.6400000000000001E-2</v>
      </c>
      <c r="C28" s="639">
        <v>7.2999999999999995E-2</v>
      </c>
      <c r="D28" s="640">
        <v>8.6900000000000005E-2</v>
      </c>
    </row>
    <row r="29" spans="1:4" ht="16.5" x14ac:dyDescent="0.3">
      <c r="A29" s="642" t="s">
        <v>761</v>
      </c>
      <c r="B29" s="643"/>
      <c r="C29" s="644"/>
      <c r="D29" s="663">
        <f>SUM(C30:C32)</f>
        <v>4.9700000000000001E-2</v>
      </c>
    </row>
    <row r="30" spans="1:4" ht="16.5" x14ac:dyDescent="0.3">
      <c r="A30" s="645"/>
      <c r="B30" s="646" t="s">
        <v>762</v>
      </c>
      <c r="C30" s="647">
        <f>C24</f>
        <v>4.0000000000000001E-3</v>
      </c>
      <c r="D30" s="664"/>
    </row>
    <row r="31" spans="1:4" ht="16.5" x14ac:dyDescent="0.3">
      <c r="A31" s="645"/>
      <c r="B31" s="646" t="s">
        <v>763</v>
      </c>
      <c r="C31" s="647">
        <f>C25</f>
        <v>5.5999999999999999E-3</v>
      </c>
      <c r="D31" s="664"/>
    </row>
    <row r="32" spans="1:4" ht="16.5" x14ac:dyDescent="0.3">
      <c r="A32" s="645"/>
      <c r="B32" s="646" t="s">
        <v>764</v>
      </c>
      <c r="C32" s="648">
        <f>C27</f>
        <v>4.0099999999999997E-2</v>
      </c>
      <c r="D32" s="664"/>
    </row>
    <row r="33" spans="1:4" ht="16.5" x14ac:dyDescent="0.3">
      <c r="A33" s="649"/>
      <c r="B33" s="650"/>
      <c r="C33" s="651">
        <f>SUM(C30:C32)</f>
        <v>4.9700000000000001E-2</v>
      </c>
      <c r="D33" s="665"/>
    </row>
    <row r="34" spans="1:4" ht="16.5" x14ac:dyDescent="0.3">
      <c r="A34" s="652" t="s">
        <v>765</v>
      </c>
      <c r="B34" s="653"/>
      <c r="C34" s="654"/>
      <c r="D34" s="666">
        <f>+C35</f>
        <v>1.11E-2</v>
      </c>
    </row>
    <row r="35" spans="1:4" ht="16.5" x14ac:dyDescent="0.3">
      <c r="A35" s="649"/>
      <c r="B35" s="650" t="s">
        <v>766</v>
      </c>
      <c r="C35" s="651">
        <f>C26</f>
        <v>1.11E-2</v>
      </c>
      <c r="D35" s="665"/>
    </row>
    <row r="36" spans="1:4" ht="16.5" x14ac:dyDescent="0.3">
      <c r="A36" s="652" t="s">
        <v>767</v>
      </c>
      <c r="B36" s="653"/>
      <c r="C36" s="654"/>
      <c r="D36" s="666">
        <f>+C37</f>
        <v>7.2999999999999995E-2</v>
      </c>
    </row>
    <row r="37" spans="1:4" ht="16.5" x14ac:dyDescent="0.3">
      <c r="A37" s="645"/>
      <c r="B37" s="646" t="s">
        <v>768</v>
      </c>
      <c r="C37" s="655">
        <f>C28</f>
        <v>7.2999999999999995E-2</v>
      </c>
      <c r="D37" s="664"/>
    </row>
    <row r="38" spans="1:4" ht="16.5" x14ac:dyDescent="0.3">
      <c r="A38" s="649"/>
      <c r="B38" s="650"/>
      <c r="C38" s="651" t="s">
        <v>769</v>
      </c>
      <c r="D38" s="665"/>
    </row>
    <row r="39" spans="1:4" ht="16.5" x14ac:dyDescent="0.3">
      <c r="A39" s="642" t="s">
        <v>770</v>
      </c>
      <c r="B39" s="643"/>
      <c r="C39" s="656"/>
      <c r="D39" s="663">
        <f>SUM(C40:C43)</f>
        <v>6.1499999999999999E-2</v>
      </c>
    </row>
    <row r="40" spans="1:4" ht="16.5" x14ac:dyDescent="0.3">
      <c r="A40" s="642"/>
      <c r="B40" s="646" t="s">
        <v>771</v>
      </c>
      <c r="C40" s="644">
        <v>0</v>
      </c>
      <c r="D40" s="663"/>
    </row>
    <row r="41" spans="1:4" ht="16.5" x14ac:dyDescent="0.3">
      <c r="A41" s="645"/>
      <c r="B41" s="646" t="s">
        <v>772</v>
      </c>
      <c r="C41" s="647">
        <v>2.5000000000000001E-2</v>
      </c>
      <c r="D41" s="664"/>
    </row>
    <row r="42" spans="1:4" ht="16.5" x14ac:dyDescent="0.3">
      <c r="A42" s="645"/>
      <c r="B42" s="646" t="s">
        <v>773</v>
      </c>
      <c r="C42" s="647">
        <v>0.03</v>
      </c>
      <c r="D42" s="664"/>
    </row>
    <row r="43" spans="1:4" ht="16.5" x14ac:dyDescent="0.3">
      <c r="A43" s="645"/>
      <c r="B43" s="646" t="s">
        <v>774</v>
      </c>
      <c r="C43" s="657">
        <v>6.4999999999999997E-3</v>
      </c>
      <c r="D43" s="664"/>
    </row>
    <row r="44" spans="1:4" ht="16.5" x14ac:dyDescent="0.3">
      <c r="A44" s="649"/>
      <c r="B44" s="650"/>
      <c r="C44" s="651">
        <f>SUM(C40:C43)</f>
        <v>6.1499999999999999E-2</v>
      </c>
      <c r="D44" s="665"/>
    </row>
    <row r="45" spans="1:4" ht="16.5" x14ac:dyDescent="0.3">
      <c r="A45" s="658" t="s">
        <v>775</v>
      </c>
      <c r="B45" s="659" t="s">
        <v>776</v>
      </c>
      <c r="C45" s="660"/>
      <c r="D45" s="664"/>
    </row>
    <row r="46" spans="1:4" ht="16.5" x14ac:dyDescent="0.3">
      <c r="A46" s="658"/>
      <c r="B46" s="659"/>
      <c r="C46" s="660"/>
      <c r="D46" s="664"/>
    </row>
    <row r="47" spans="1:4" ht="16.5" x14ac:dyDescent="0.3">
      <c r="A47" s="658"/>
      <c r="B47" s="1039" t="s">
        <v>777</v>
      </c>
      <c r="C47" s="1039"/>
      <c r="D47" s="664"/>
    </row>
    <row r="48" spans="1:4" ht="17.25" thickBot="1" x14ac:dyDescent="0.35">
      <c r="A48" s="658" t="s">
        <v>775</v>
      </c>
      <c r="B48" s="661">
        <f>((((1+D29)*(1+D34)*(1+D36))/(1-D39))-1)*100</f>
        <v>21.346</v>
      </c>
      <c r="C48" s="647"/>
      <c r="D48" s="664"/>
    </row>
    <row r="49" spans="1:4" ht="17.25" thickTop="1" thickBot="1" x14ac:dyDescent="0.3">
      <c r="A49" s="1018" t="s">
        <v>778</v>
      </c>
      <c r="B49" s="1019"/>
      <c r="C49" s="1019"/>
      <c r="D49" s="686">
        <f>B48%</f>
        <v>0.2135</v>
      </c>
    </row>
    <row r="50" spans="1:4" ht="18" thickTop="1" thickBot="1" x14ac:dyDescent="0.35">
      <c r="A50" s="656"/>
      <c r="B50" s="656"/>
      <c r="C50" s="662"/>
      <c r="D50" s="662"/>
    </row>
    <row r="51" spans="1:4" ht="73.900000000000006" customHeight="1" thickTop="1" thickBot="1" x14ac:dyDescent="0.3">
      <c r="A51" s="1020" t="s">
        <v>779</v>
      </c>
      <c r="B51" s="1021"/>
      <c r="C51" s="1021"/>
      <c r="D51" s="1022"/>
    </row>
    <row r="52" spans="1:4" ht="15.75" thickTop="1" x14ac:dyDescent="0.25"/>
  </sheetData>
  <mergeCells count="12">
    <mergeCell ref="A49:C49"/>
    <mergeCell ref="A51:D51"/>
    <mergeCell ref="B3:D3"/>
    <mergeCell ref="B4:D4"/>
    <mergeCell ref="A8:D8"/>
    <mergeCell ref="A11:D11"/>
    <mergeCell ref="A14:D14"/>
    <mergeCell ref="A17:C17"/>
    <mergeCell ref="A19:D19"/>
    <mergeCell ref="A21:D21"/>
    <mergeCell ref="A22:D22"/>
    <mergeCell ref="B47:C47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87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06B140-2B8F-4AF2-94A2-ABFEE72CD3D2}">
  <dimension ref="A1:J51"/>
  <sheetViews>
    <sheetView topLeftCell="A40" workbookViewId="0">
      <selection activeCell="L40" sqref="L40"/>
    </sheetView>
  </sheetViews>
  <sheetFormatPr defaultRowHeight="15" x14ac:dyDescent="0.25"/>
  <cols>
    <col min="4" max="4" width="10.5703125" customWidth="1"/>
    <col min="5" max="5" width="10.7109375" customWidth="1"/>
    <col min="6" max="6" width="10.28515625" customWidth="1"/>
    <col min="7" max="7" width="10.85546875" customWidth="1"/>
    <col min="8" max="8" width="10.42578125" customWidth="1"/>
  </cols>
  <sheetData>
    <row r="1" spans="1:10" ht="15" customHeight="1" x14ac:dyDescent="0.25">
      <c r="A1" s="204"/>
      <c r="B1" s="205"/>
      <c r="C1" s="205"/>
      <c r="D1" s="205"/>
      <c r="E1" s="205"/>
      <c r="F1" s="205"/>
      <c r="G1" s="205"/>
      <c r="H1" s="205"/>
      <c r="I1" s="205"/>
      <c r="J1" s="206"/>
    </row>
    <row r="2" spans="1:10" ht="15" customHeight="1" x14ac:dyDescent="0.25">
      <c r="A2" s="207"/>
      <c r="B2" s="208"/>
      <c r="C2" s="208"/>
      <c r="D2" s="208"/>
      <c r="E2" s="208"/>
      <c r="F2" s="208"/>
      <c r="G2" s="208"/>
      <c r="H2" s="208"/>
      <c r="I2" s="208"/>
      <c r="J2" s="209"/>
    </row>
    <row r="3" spans="1:10" ht="20.25" customHeight="1" x14ac:dyDescent="0.25">
      <c r="A3" s="207"/>
      <c r="B3" s="863"/>
      <c r="C3" s="863"/>
      <c r="D3" s="863"/>
      <c r="E3" s="92" t="s">
        <v>0</v>
      </c>
      <c r="F3" s="92"/>
      <c r="G3" s="92"/>
      <c r="H3" s="92"/>
      <c r="I3" s="92"/>
      <c r="J3" s="723"/>
    </row>
    <row r="4" spans="1:10" ht="15" customHeight="1" x14ac:dyDescent="0.25">
      <c r="A4" s="207"/>
      <c r="B4" s="865"/>
      <c r="C4" s="865"/>
      <c r="D4" s="865"/>
      <c r="E4" s="54" t="s">
        <v>1</v>
      </c>
      <c r="F4" s="54"/>
      <c r="G4" s="32"/>
      <c r="H4" s="208"/>
      <c r="I4" s="208"/>
      <c r="J4" s="209"/>
    </row>
    <row r="5" spans="1:10" ht="15" customHeight="1" x14ac:dyDescent="0.25">
      <c r="A5" s="207"/>
      <c r="B5" s="208"/>
      <c r="C5" s="208"/>
      <c r="D5" s="208"/>
      <c r="E5" s="208"/>
      <c r="F5" s="208"/>
      <c r="G5" s="208"/>
      <c r="H5" s="208"/>
      <c r="I5" s="208"/>
      <c r="J5" s="209"/>
    </row>
    <row r="6" spans="1:10" ht="15" customHeight="1" x14ac:dyDescent="0.25">
      <c r="A6" s="210"/>
      <c r="B6" s="211"/>
      <c r="C6" s="211"/>
      <c r="D6" s="211"/>
      <c r="E6" s="211"/>
      <c r="F6" s="211"/>
      <c r="G6" s="211"/>
      <c r="H6" s="211"/>
      <c r="I6" s="211"/>
      <c r="J6" s="212"/>
    </row>
    <row r="7" spans="1:10" ht="16.5" x14ac:dyDescent="0.3">
      <c r="A7" s="724"/>
      <c r="B7" s="725"/>
      <c r="C7" s="725"/>
      <c r="D7" s="725"/>
      <c r="E7" s="721"/>
      <c r="F7" s="721"/>
      <c r="G7" s="721"/>
      <c r="H7" s="721"/>
      <c r="I7" s="721"/>
      <c r="J7" s="722"/>
    </row>
    <row r="8" spans="1:10" x14ac:dyDescent="0.25">
      <c r="A8" s="1040" t="s">
        <v>831</v>
      </c>
      <c r="B8" s="1041"/>
      <c r="C8" s="1041"/>
      <c r="D8" s="1041"/>
      <c r="E8" s="1041"/>
      <c r="F8" s="1041"/>
      <c r="G8" s="1041"/>
      <c r="H8" s="1041"/>
      <c r="I8" s="1041"/>
      <c r="J8" s="1042"/>
    </row>
    <row r="9" spans="1:10" x14ac:dyDescent="0.25">
      <c r="B9" s="726"/>
      <c r="C9" s="727"/>
      <c r="D9" s="727"/>
      <c r="E9" s="727"/>
      <c r="F9" s="727"/>
      <c r="G9" s="727"/>
      <c r="H9" s="727"/>
      <c r="I9" s="727"/>
      <c r="J9" s="728"/>
    </row>
    <row r="10" spans="1:10" x14ac:dyDescent="0.25">
      <c r="A10" s="1047" t="s">
        <v>792</v>
      </c>
      <c r="B10" s="1048"/>
      <c r="C10" s="1047" t="s">
        <v>793</v>
      </c>
      <c r="D10" s="1049"/>
      <c r="E10" s="1049"/>
      <c r="F10" s="1049"/>
      <c r="G10" s="1049"/>
      <c r="H10" s="1049"/>
      <c r="I10" s="1049"/>
      <c r="J10" s="1048"/>
    </row>
    <row r="11" spans="1:10" x14ac:dyDescent="0.25">
      <c r="A11" s="1078" t="s">
        <v>794</v>
      </c>
      <c r="B11" s="1079"/>
      <c r="C11" s="1080" t="s">
        <v>0</v>
      </c>
      <c r="D11" s="1081"/>
      <c r="E11" s="1081"/>
      <c r="F11" s="1081"/>
      <c r="G11" s="1081"/>
      <c r="H11" s="1081"/>
      <c r="I11" s="1081"/>
      <c r="J11" s="1079"/>
    </row>
    <row r="12" spans="1:10" x14ac:dyDescent="0.25">
      <c r="A12" s="709"/>
      <c r="B12" s="710"/>
      <c r="C12" s="710"/>
      <c r="D12" s="710"/>
      <c r="E12" s="710"/>
      <c r="F12" s="710"/>
      <c r="G12" s="710"/>
      <c r="H12" s="710"/>
      <c r="I12" s="710"/>
      <c r="J12" s="711"/>
    </row>
    <row r="13" spans="1:10" x14ac:dyDescent="0.25">
      <c r="A13" s="1050" t="s">
        <v>310</v>
      </c>
      <c r="B13" s="1051"/>
      <c r="C13" s="1051"/>
      <c r="D13" s="1051"/>
      <c r="E13" s="1051"/>
      <c r="F13" s="1051"/>
      <c r="G13" s="1051"/>
      <c r="H13" s="1051"/>
      <c r="I13" s="1051"/>
      <c r="J13" s="1052"/>
    </row>
    <row r="14" spans="1:10" ht="26.25" customHeight="1" x14ac:dyDescent="0.25">
      <c r="A14" s="1082" t="s">
        <v>699</v>
      </c>
      <c r="B14" s="1082"/>
      <c r="C14" s="1082"/>
      <c r="D14" s="1082"/>
      <c r="E14" s="1082"/>
      <c r="F14" s="1082"/>
      <c r="G14" s="1082"/>
      <c r="H14" s="1082"/>
      <c r="I14" s="1082"/>
      <c r="J14" s="1082"/>
    </row>
    <row r="15" spans="1:10" x14ac:dyDescent="0.25">
      <c r="A15" s="709"/>
      <c r="B15" s="710"/>
      <c r="C15" s="710"/>
      <c r="D15" s="710"/>
      <c r="E15" s="710"/>
      <c r="F15" s="710"/>
      <c r="G15" s="710"/>
      <c r="H15" s="710"/>
      <c r="I15" s="710"/>
      <c r="J15" s="711"/>
    </row>
    <row r="16" spans="1:10" x14ac:dyDescent="0.25">
      <c r="A16" s="1050" t="s">
        <v>795</v>
      </c>
      <c r="B16" s="1051"/>
      <c r="C16" s="1051"/>
      <c r="D16" s="1051"/>
      <c r="E16" s="1051"/>
      <c r="F16" s="1051"/>
      <c r="G16" s="1051"/>
      <c r="H16" s="1051"/>
      <c r="I16" s="1050" t="s">
        <v>796</v>
      </c>
      <c r="J16" s="1052"/>
    </row>
    <row r="17" spans="1:10" x14ac:dyDescent="0.25">
      <c r="A17" s="1083" t="s">
        <v>797</v>
      </c>
      <c r="B17" s="1084"/>
      <c r="C17" s="1084"/>
      <c r="D17" s="1084"/>
      <c r="E17" s="1084"/>
      <c r="F17" s="1084"/>
      <c r="G17" s="1084"/>
      <c r="H17" s="1084"/>
      <c r="I17" s="1085" t="s">
        <v>750</v>
      </c>
      <c r="J17" s="1086"/>
    </row>
    <row r="18" spans="1:10" x14ac:dyDescent="0.25">
      <c r="A18" s="712"/>
      <c r="B18" s="713"/>
      <c r="C18" s="713"/>
      <c r="D18" s="713"/>
      <c r="E18" s="713"/>
      <c r="F18" s="713"/>
      <c r="G18" s="713"/>
      <c r="H18" s="713"/>
      <c r="I18" s="713"/>
      <c r="J18" s="714"/>
    </row>
    <row r="19" spans="1:10" ht="32.25" customHeight="1" x14ac:dyDescent="0.25">
      <c r="A19" s="1053" t="s">
        <v>798</v>
      </c>
      <c r="B19" s="1053"/>
      <c r="C19" s="1053"/>
      <c r="D19" s="1053"/>
      <c r="E19" s="1053"/>
      <c r="F19" s="1053"/>
      <c r="G19" s="1053"/>
      <c r="H19" s="1053"/>
      <c r="I19" s="1054">
        <v>0.5</v>
      </c>
      <c r="J19" s="1054"/>
    </row>
    <row r="20" spans="1:10" x14ac:dyDescent="0.25">
      <c r="A20" s="1087" t="s">
        <v>799</v>
      </c>
      <c r="B20" s="1087"/>
      <c r="C20" s="1087"/>
      <c r="D20" s="1087"/>
      <c r="E20" s="1087"/>
      <c r="F20" s="1087"/>
      <c r="G20" s="1087"/>
      <c r="H20" s="1087"/>
      <c r="I20" s="1054">
        <v>0.05</v>
      </c>
      <c r="J20" s="1054"/>
    </row>
    <row r="21" spans="1:10" x14ac:dyDescent="0.25">
      <c r="A21" s="712"/>
      <c r="B21" s="713"/>
      <c r="C21" s="713"/>
      <c r="D21" s="713"/>
      <c r="E21" s="713"/>
      <c r="F21" s="713"/>
      <c r="G21" s="713"/>
      <c r="H21" s="713"/>
      <c r="I21" s="713"/>
      <c r="J21" s="714"/>
    </row>
    <row r="22" spans="1:10" x14ac:dyDescent="0.25">
      <c r="A22" s="1063" t="s">
        <v>800</v>
      </c>
      <c r="B22" s="1063"/>
      <c r="C22" s="1063"/>
      <c r="D22" s="1063"/>
      <c r="E22" s="1063" t="s">
        <v>801</v>
      </c>
      <c r="F22" s="1064" t="s">
        <v>802</v>
      </c>
      <c r="G22" s="1064" t="s">
        <v>803</v>
      </c>
      <c r="H22" s="1063" t="s">
        <v>804</v>
      </c>
      <c r="I22" s="1063" t="s">
        <v>313</v>
      </c>
      <c r="J22" s="1065" t="s">
        <v>805</v>
      </c>
    </row>
    <row r="23" spans="1:10" x14ac:dyDescent="0.25">
      <c r="A23" s="1063"/>
      <c r="B23" s="1063"/>
      <c r="C23" s="1063"/>
      <c r="D23" s="1063"/>
      <c r="E23" s="1063"/>
      <c r="F23" s="1064"/>
      <c r="G23" s="1064"/>
      <c r="H23" s="1063"/>
      <c r="I23" s="1063"/>
      <c r="J23" s="1065"/>
    </row>
    <row r="24" spans="1:10" x14ac:dyDescent="0.25">
      <c r="A24" s="1055" t="str">
        <f>IF($I$20=$A$68,"Encargos Sociais incidentes sobre a mão de obra","Administração Central")</f>
        <v>Administração Central</v>
      </c>
      <c r="B24" s="1055"/>
      <c r="C24" s="1055"/>
      <c r="D24" s="1055"/>
      <c r="E24" s="698" t="str">
        <f>IF($I$20=$A$68,"K1","AC")</f>
        <v>AC</v>
      </c>
      <c r="F24" s="699">
        <v>4.0099999999999997E-2</v>
      </c>
      <c r="G24" s="700" t="s">
        <v>806</v>
      </c>
      <c r="H24" s="701">
        <v>1.4999999999999999E-2</v>
      </c>
      <c r="I24" s="701">
        <v>3.4500000000000003E-2</v>
      </c>
      <c r="J24" s="701">
        <v>4.4900000000000002E-2</v>
      </c>
    </row>
    <row r="25" spans="1:10" x14ac:dyDescent="0.25">
      <c r="A25" s="1055" t="str">
        <f>IF($I$20=$A$68,"Administração Central da empresa ou consultoria - overhead","Seguro e Garantia")</f>
        <v>Seguro e Garantia</v>
      </c>
      <c r="B25" s="1055"/>
      <c r="C25" s="1055"/>
      <c r="D25" s="1055"/>
      <c r="E25" s="698" t="str">
        <f>IF($I$20=$A$68,"K2","SG")</f>
        <v>SG</v>
      </c>
      <c r="F25" s="699">
        <v>4.0000000000000001E-3</v>
      </c>
      <c r="G25" s="700" t="s">
        <v>806</v>
      </c>
      <c r="H25" s="701">
        <v>3.0000000000000001E-3</v>
      </c>
      <c r="I25" s="701">
        <v>4.7999999999999996E-3</v>
      </c>
      <c r="J25" s="701">
        <v>8.2000000000000007E-3</v>
      </c>
    </row>
    <row r="26" spans="1:10" x14ac:dyDescent="0.25">
      <c r="A26" s="1055" t="str">
        <f>IF($I$20=$A$68,"","Risco")</f>
        <v>Risco</v>
      </c>
      <c r="B26" s="1055"/>
      <c r="C26" s="1055"/>
      <c r="D26" s="1055"/>
      <c r="E26" s="698" t="str">
        <f>IF($I$20=$A$68,"","R")</f>
        <v>R</v>
      </c>
      <c r="F26" s="699">
        <v>5.5999999999999999E-3</v>
      </c>
      <c r="G26" s="700" t="s">
        <v>806</v>
      </c>
      <c r="H26" s="701">
        <v>5.5999999999999999E-3</v>
      </c>
      <c r="I26" s="701">
        <v>8.5000000000000006E-3</v>
      </c>
      <c r="J26" s="701">
        <v>8.8999999999999999E-3</v>
      </c>
    </row>
    <row r="27" spans="1:10" x14ac:dyDescent="0.25">
      <c r="A27" s="1055" t="str">
        <f>IF($I$20=$A$68,"","Despesas Financeiras")</f>
        <v>Despesas Financeiras</v>
      </c>
      <c r="B27" s="1055"/>
      <c r="C27" s="1055"/>
      <c r="D27" s="1055"/>
      <c r="E27" s="698" t="str">
        <f>IF($I$20=$A$68,"","DF")</f>
        <v>DF</v>
      </c>
      <c r="F27" s="699">
        <v>1.11E-2</v>
      </c>
      <c r="G27" s="700" t="s">
        <v>806</v>
      </c>
      <c r="H27" s="701">
        <v>8.5000000000000006E-3</v>
      </c>
      <c r="I27" s="701">
        <v>8.5000000000000006E-3</v>
      </c>
      <c r="J27" s="701">
        <v>1.11E-2</v>
      </c>
    </row>
    <row r="28" spans="1:10" x14ac:dyDescent="0.25">
      <c r="A28" s="1055" t="str">
        <f>IF($I$20=$A$68,"Margem bruta da empresa de consultoria","Lucro")</f>
        <v>Lucro</v>
      </c>
      <c r="B28" s="1055"/>
      <c r="C28" s="1055"/>
      <c r="D28" s="1055"/>
      <c r="E28" s="698" t="str">
        <f>IF($I$20=$A$68,"K3","L")</f>
        <v>L</v>
      </c>
      <c r="F28" s="699">
        <v>3.5000000000000003E-2</v>
      </c>
      <c r="G28" s="700" t="s">
        <v>806</v>
      </c>
      <c r="H28" s="701">
        <v>3.5000000000000003E-2</v>
      </c>
      <c r="I28" s="701">
        <v>5.11E-2</v>
      </c>
      <c r="J28" s="701">
        <v>6.2199999999999998E-2</v>
      </c>
    </row>
    <row r="29" spans="1:10" x14ac:dyDescent="0.25">
      <c r="A29" s="1088" t="s">
        <v>807</v>
      </c>
      <c r="B29" s="1088"/>
      <c r="C29" s="1088"/>
      <c r="D29" s="1088"/>
      <c r="E29" s="698" t="s">
        <v>808</v>
      </c>
      <c r="F29" s="699">
        <v>3.6499999999999998E-2</v>
      </c>
      <c r="G29" s="700" t="s">
        <v>806</v>
      </c>
      <c r="H29" s="701">
        <v>3.6499999999999998E-2</v>
      </c>
      <c r="I29" s="701">
        <v>3.6499999999999998E-2</v>
      </c>
      <c r="J29" s="701">
        <v>3.6499999999999998E-2</v>
      </c>
    </row>
    <row r="30" spans="1:10" ht="26.25" customHeight="1" x14ac:dyDescent="0.25">
      <c r="A30" s="1055" t="s">
        <v>809</v>
      </c>
      <c r="B30" s="1055"/>
      <c r="C30" s="1055"/>
      <c r="D30" s="1055"/>
      <c r="E30" s="698" t="s">
        <v>810</v>
      </c>
      <c r="F30" s="701">
        <v>0</v>
      </c>
      <c r="G30" s="700" t="s">
        <v>806</v>
      </c>
      <c r="H30" s="701">
        <v>0</v>
      </c>
      <c r="I30" s="701">
        <v>2.5000000000000001E-2</v>
      </c>
      <c r="J30" s="701">
        <v>0.05</v>
      </c>
    </row>
    <row r="31" spans="1:10" ht="39.75" customHeight="1" x14ac:dyDescent="0.25">
      <c r="A31" s="1055" t="s">
        <v>811</v>
      </c>
      <c r="B31" s="1055"/>
      <c r="C31" s="1055"/>
      <c r="D31" s="1055"/>
      <c r="E31" s="698" t="s">
        <v>812</v>
      </c>
      <c r="F31" s="701">
        <v>0</v>
      </c>
      <c r="G31" s="700" t="s">
        <v>806</v>
      </c>
      <c r="H31" s="702">
        <v>0</v>
      </c>
      <c r="I31" s="702">
        <v>4.4999999999999998E-2</v>
      </c>
      <c r="J31" s="702">
        <v>4.4999999999999998E-2</v>
      </c>
    </row>
    <row r="32" spans="1:10" x14ac:dyDescent="0.25">
      <c r="A32" s="1055" t="s">
        <v>813</v>
      </c>
      <c r="B32" s="1055"/>
      <c r="C32" s="1055"/>
      <c r="D32" s="1055"/>
      <c r="E32" s="703" t="s">
        <v>814</v>
      </c>
      <c r="F32" s="708">
        <v>0.1401</v>
      </c>
      <c r="G32" s="704" t="s">
        <v>806</v>
      </c>
      <c r="H32" s="701">
        <v>0.111</v>
      </c>
      <c r="I32" s="701">
        <v>0.14019999999999999</v>
      </c>
      <c r="J32" s="701">
        <v>0.16800000000000001</v>
      </c>
    </row>
    <row r="33" spans="1:10" x14ac:dyDescent="0.25">
      <c r="A33" s="1056" t="s">
        <v>815</v>
      </c>
      <c r="B33" s="1057"/>
      <c r="C33" s="1057"/>
      <c r="D33" s="1057"/>
      <c r="E33" s="729" t="s">
        <v>816</v>
      </c>
      <c r="F33" s="730">
        <v>0.1401</v>
      </c>
      <c r="G33" s="731" t="s">
        <v>817</v>
      </c>
      <c r="H33" s="1072"/>
      <c r="I33" s="1072"/>
      <c r="J33" s="1073"/>
    </row>
    <row r="34" spans="1:10" ht="14.25" customHeight="1" x14ac:dyDescent="0.25">
      <c r="A34" s="712"/>
      <c r="B34" s="713"/>
      <c r="C34" s="713"/>
      <c r="D34" s="713"/>
      <c r="E34" s="713"/>
      <c r="F34" s="713"/>
      <c r="G34" s="713"/>
      <c r="H34" s="713"/>
      <c r="I34" s="713"/>
      <c r="J34" s="714"/>
    </row>
    <row r="35" spans="1:10" ht="15.75" customHeight="1" x14ac:dyDescent="0.25">
      <c r="A35" s="705" t="str">
        <f>IF(N35,"X","")</f>
        <v/>
      </c>
      <c r="B35" s="1066" t="s">
        <v>818</v>
      </c>
      <c r="C35" s="1066"/>
      <c r="D35" s="1066"/>
      <c r="E35" s="1066"/>
      <c r="F35" s="1066"/>
      <c r="G35" s="1066"/>
      <c r="H35" s="1066"/>
      <c r="I35" s="1066"/>
      <c r="J35" s="1067"/>
    </row>
    <row r="36" spans="1:10" hidden="1" x14ac:dyDescent="0.25">
      <c r="A36" s="712"/>
      <c r="B36" s="713"/>
      <c r="C36" s="713"/>
      <c r="D36" s="713"/>
      <c r="E36" s="713"/>
      <c r="F36" s="713"/>
      <c r="G36" s="713"/>
      <c r="H36" s="713"/>
      <c r="I36" s="713"/>
      <c r="J36" s="714"/>
    </row>
    <row r="37" spans="1:10" x14ac:dyDescent="0.25">
      <c r="A37" s="1068" t="s">
        <v>819</v>
      </c>
      <c r="B37" s="1069"/>
      <c r="C37" s="1069"/>
      <c r="D37" s="1069"/>
      <c r="E37" s="1069"/>
      <c r="F37" s="1069"/>
      <c r="G37" s="1069"/>
      <c r="H37" s="1069"/>
      <c r="I37" s="1069"/>
      <c r="J37" s="1070"/>
    </row>
    <row r="38" spans="1:10" ht="15.75" x14ac:dyDescent="0.25">
      <c r="A38" s="715"/>
      <c r="B38" s="716"/>
      <c r="C38" s="716"/>
      <c r="D38" s="1071" t="s">
        <v>820</v>
      </c>
      <c r="E38" s="1075" t="s">
        <v>821</v>
      </c>
      <c r="F38" s="1075"/>
      <c r="G38" s="1075"/>
      <c r="H38" s="1076" t="s">
        <v>822</v>
      </c>
      <c r="I38" s="716"/>
      <c r="J38" s="717"/>
    </row>
    <row r="39" spans="1:10" ht="15.75" x14ac:dyDescent="0.25">
      <c r="A39" s="715"/>
      <c r="B39" s="716"/>
      <c r="C39" s="716"/>
      <c r="D39" s="1071"/>
      <c r="E39" s="1074" t="s">
        <v>823</v>
      </c>
      <c r="F39" s="1074"/>
      <c r="G39" s="1074"/>
      <c r="H39" s="1077"/>
      <c r="I39" s="716"/>
      <c r="J39" s="717"/>
    </row>
    <row r="40" spans="1:10" x14ac:dyDescent="0.25">
      <c r="A40" s="732"/>
      <c r="B40" s="733"/>
      <c r="C40" s="733"/>
      <c r="D40" s="733"/>
      <c r="E40" s="733"/>
      <c r="F40" s="733"/>
      <c r="G40" s="733"/>
      <c r="H40" s="733"/>
      <c r="I40" s="733"/>
      <c r="J40" s="734"/>
    </row>
    <row r="41" spans="1:10" x14ac:dyDescent="0.25">
      <c r="A41" s="1043" t="s">
        <v>824</v>
      </c>
      <c r="B41" s="1043"/>
      <c r="C41" s="1043"/>
      <c r="D41" s="1043"/>
      <c r="E41" s="1043"/>
      <c r="F41" s="1043"/>
      <c r="G41" s="1043"/>
      <c r="H41" s="1043"/>
      <c r="I41" s="1043"/>
      <c r="J41" s="1043"/>
    </row>
    <row r="42" spans="1:10" x14ac:dyDescent="0.25">
      <c r="A42" s="712"/>
      <c r="B42" s="713"/>
      <c r="C42" s="713"/>
      <c r="D42" s="713"/>
      <c r="E42" s="713"/>
      <c r="F42" s="713"/>
      <c r="G42" s="713"/>
      <c r="H42" s="713"/>
      <c r="I42" s="713"/>
      <c r="J42" s="714"/>
    </row>
    <row r="43" spans="1:10" x14ac:dyDescent="0.25">
      <c r="A43" s="1043" t="s">
        <v>825</v>
      </c>
      <c r="B43" s="1043"/>
      <c r="C43" s="1043"/>
      <c r="D43" s="1043"/>
      <c r="E43" s="1043"/>
      <c r="F43" s="1043"/>
      <c r="G43" s="1043"/>
      <c r="H43" s="1043"/>
      <c r="I43" s="1043"/>
      <c r="J43" s="1043"/>
    </row>
    <row r="44" spans="1:10" x14ac:dyDescent="0.25">
      <c r="A44" s="712"/>
      <c r="B44" s="713"/>
      <c r="C44" s="713"/>
      <c r="D44" s="713"/>
      <c r="E44" s="713"/>
      <c r="F44" s="713"/>
      <c r="G44" s="713"/>
      <c r="H44" s="713"/>
      <c r="I44" s="713"/>
      <c r="J44" s="714"/>
    </row>
    <row r="45" spans="1:10" x14ac:dyDescent="0.25">
      <c r="A45" s="712" t="s">
        <v>826</v>
      </c>
      <c r="B45" s="713"/>
      <c r="C45" s="713"/>
      <c r="D45" s="713"/>
      <c r="E45" s="713"/>
      <c r="F45" s="713"/>
      <c r="G45" s="713"/>
      <c r="H45" s="713"/>
      <c r="I45" s="713"/>
      <c r="J45" s="714"/>
    </row>
    <row r="46" spans="1:10" x14ac:dyDescent="0.25">
      <c r="A46" s="1044"/>
      <c r="B46" s="1045"/>
      <c r="C46" s="1045"/>
      <c r="D46" s="1045"/>
      <c r="E46" s="1045"/>
      <c r="F46" s="1045"/>
      <c r="G46" s="1045"/>
      <c r="H46" s="1045"/>
      <c r="I46" s="1045"/>
      <c r="J46" s="1046"/>
    </row>
    <row r="47" spans="1:10" x14ac:dyDescent="0.25">
      <c r="A47" s="712"/>
      <c r="B47" s="713"/>
      <c r="C47" s="713"/>
      <c r="D47" s="713"/>
      <c r="E47" s="713"/>
      <c r="F47" s="713"/>
      <c r="G47" s="713"/>
      <c r="H47" s="713"/>
      <c r="I47" s="713"/>
      <c r="J47" s="714"/>
    </row>
    <row r="48" spans="1:10" x14ac:dyDescent="0.25">
      <c r="A48" s="1058" t="s">
        <v>827</v>
      </c>
      <c r="B48" s="1059"/>
      <c r="C48" s="1059"/>
      <c r="D48" s="1059"/>
      <c r="E48" s="713"/>
      <c r="F48" s="713"/>
      <c r="G48" s="1059"/>
      <c r="H48" s="1059"/>
      <c r="I48" s="1059"/>
      <c r="J48" s="1060"/>
    </row>
    <row r="49" spans="1:10" x14ac:dyDescent="0.25">
      <c r="A49" s="1061" t="s">
        <v>828</v>
      </c>
      <c r="B49" s="1062"/>
      <c r="C49" s="1062"/>
      <c r="D49" s="1062"/>
      <c r="E49" s="713"/>
      <c r="F49" s="718"/>
      <c r="G49" s="706" t="s">
        <v>829</v>
      </c>
      <c r="H49" s="707"/>
      <c r="I49" s="707"/>
      <c r="J49" s="719"/>
    </row>
    <row r="50" spans="1:10" x14ac:dyDescent="0.25">
      <c r="A50" s="712"/>
      <c r="B50" s="713"/>
      <c r="C50" s="713"/>
      <c r="D50" s="713"/>
      <c r="E50" s="713"/>
      <c r="F50" s="713"/>
      <c r="G50" s="713"/>
      <c r="H50" s="713"/>
      <c r="I50" s="713"/>
      <c r="J50" s="714"/>
    </row>
    <row r="51" spans="1:10" x14ac:dyDescent="0.25">
      <c r="A51" s="720"/>
      <c r="B51" s="721"/>
      <c r="C51" s="721"/>
      <c r="D51" s="721"/>
      <c r="E51" s="721"/>
      <c r="F51" s="721"/>
      <c r="G51" s="721"/>
      <c r="H51" s="721"/>
      <c r="I51" s="721"/>
      <c r="J51" s="722"/>
    </row>
  </sheetData>
  <mergeCells count="47">
    <mergeCell ref="A11:B11"/>
    <mergeCell ref="C11:J11"/>
    <mergeCell ref="A14:J14"/>
    <mergeCell ref="A30:D30"/>
    <mergeCell ref="A22:D23"/>
    <mergeCell ref="A24:D24"/>
    <mergeCell ref="A17:H17"/>
    <mergeCell ref="I17:J17"/>
    <mergeCell ref="A20:H20"/>
    <mergeCell ref="I20:J20"/>
    <mergeCell ref="A25:D25"/>
    <mergeCell ref="A26:D26"/>
    <mergeCell ref="A27:D27"/>
    <mergeCell ref="A28:D28"/>
    <mergeCell ref="A29:D29"/>
    <mergeCell ref="A48:D48"/>
    <mergeCell ref="G48:J48"/>
    <mergeCell ref="A49:D49"/>
    <mergeCell ref="E22:E23"/>
    <mergeCell ref="F22:F23"/>
    <mergeCell ref="G22:G23"/>
    <mergeCell ref="H22:H23"/>
    <mergeCell ref="I22:I23"/>
    <mergeCell ref="J22:J23"/>
    <mergeCell ref="B35:J35"/>
    <mergeCell ref="A37:J37"/>
    <mergeCell ref="D38:D39"/>
    <mergeCell ref="H33:J33"/>
    <mergeCell ref="E39:G39"/>
    <mergeCell ref="E38:G38"/>
    <mergeCell ref="H38:H39"/>
    <mergeCell ref="A8:J8"/>
    <mergeCell ref="B3:D3"/>
    <mergeCell ref="B4:D4"/>
    <mergeCell ref="A43:J43"/>
    <mergeCell ref="A46:J46"/>
    <mergeCell ref="A10:B10"/>
    <mergeCell ref="C10:J10"/>
    <mergeCell ref="A13:J13"/>
    <mergeCell ref="A16:H16"/>
    <mergeCell ref="I16:J16"/>
    <mergeCell ref="A19:H19"/>
    <mergeCell ref="I19:J19"/>
    <mergeCell ref="A41:J41"/>
    <mergeCell ref="A31:D31"/>
    <mergeCell ref="A32:D32"/>
    <mergeCell ref="A33:D33"/>
  </mergeCells>
  <conditionalFormatting sqref="G48 A48">
    <cfRule type="expression" dxfId="8" priority="1" stopIfTrue="1">
      <formula>$O$51=""</formula>
    </cfRule>
  </conditionalFormatting>
  <conditionalFormatting sqref="G24:G33">
    <cfRule type="expression" dxfId="7" priority="2" stopIfTrue="1">
      <formula>AND(G24&lt;&gt;"OK",G24&lt;&gt;"-",G24&lt;&gt;"")</formula>
    </cfRule>
    <cfRule type="cellIs" dxfId="6" priority="3" stopIfTrue="1" operator="equal">
      <formula>"OK"</formula>
    </cfRule>
  </conditionalFormatting>
  <conditionalFormatting sqref="A32:F32">
    <cfRule type="expression" dxfId="5" priority="4" stopIfTrue="1">
      <formula>$Q$20="Não"</formula>
    </cfRule>
  </conditionalFormatting>
  <conditionalFormatting sqref="A33:F33">
    <cfRule type="expression" dxfId="4" priority="5" stopIfTrue="1">
      <formula>$Q$20="sim"</formula>
    </cfRule>
  </conditionalFormatting>
  <conditionalFormatting sqref="H33:J33">
    <cfRule type="expression" dxfId="3" priority="6" stopIfTrue="1">
      <formula>$Q$20="sim"</formula>
    </cfRule>
  </conditionalFormatting>
  <conditionalFormatting sqref="A41:J41 A19:J20 I17:J17">
    <cfRule type="expression" dxfId="2" priority="7" stopIfTrue="1">
      <formula>$I$20=$A$66</formula>
    </cfRule>
  </conditionalFormatting>
  <conditionalFormatting sqref="A35:J35">
    <cfRule type="expression" dxfId="1" priority="8" stopIfTrue="1">
      <formula>AND(NOT($V$36),NOT($V$38))</formula>
    </cfRule>
  </conditionalFormatting>
  <conditionalFormatting sqref="H24:J32">
    <cfRule type="expression" dxfId="0" priority="9" stopIfTrue="1">
      <formula>$I$20=$A$67</formula>
    </cfRule>
  </conditionalFormatting>
  <dataValidations count="7">
    <dataValidation type="list" allowBlank="1" showInputMessage="1" showErrorMessage="1" errorTitle="Erro" error="Selecione &quot;SIM&quot; ou &quot;NÃO&quot;!" sqref="I17:J17" xr:uid="{2F63BD01-F3A6-4B91-B909-8125A878D61F}">
      <formula1>SIMOUNAO</formula1>
    </dataValidation>
    <dataValidation type="decimal" allowBlank="1" showInputMessage="1" showErrorMessage="1" errorTitle="Erro de valores" error="Digite um valor entre 0% e 100%" sqref="F24:F29" xr:uid="{24329686-27F9-4AD9-AE81-0E1352C6FE45}">
      <formula1>0</formula1>
      <formula2>1</formula2>
    </dataValidation>
    <dataValidation type="decimal" operator="greaterThanOrEqual" allowBlank="1" showInputMessage="1" showErrorMessage="1" errorTitle="Valor não permitido" error="Digite um percentual entre 0% e 100%." promptTitle="Valores comuns:" prompt="Normalmente entre 2 e 5%." sqref="I20:J20" xr:uid="{1B2C8A46-82E4-4747-9C70-E9810B4C1819}">
      <formula1>0</formula1>
    </dataValidation>
    <dataValidation type="decimal" allowBlank="1" showInputMessage="1" showErrorMessage="1" errorTitle="Valor não permitido" error="Digite um percentual entre 0% e 100%." promptTitle="Valores admissíveis:" prompt="Insira valores entre 0 e 100%." sqref="I19:J19" xr:uid="{9A1D4245-AFF6-4F5E-8147-C412E34D10F1}">
      <formula1>0</formula1>
      <formula2>1</formula2>
    </dataValidation>
    <dataValidation type="decimal" allowBlank="1" showInputMessage="1" showErrorMessage="1" errorTitle="Erro de valores" error="Digite um valor maior do que 0." sqref="F30" xr:uid="{C47804B0-6E65-4700-9C9F-2476D4272053}">
      <formula1>0</formula1>
      <formula2>1</formula2>
    </dataValidation>
    <dataValidation operator="greaterThanOrEqual" allowBlank="1" showInputMessage="1" showErrorMessage="1" errorTitle="Erro de valores" error="Digite um valor igual a 0% ou 2%." sqref="F31" xr:uid="{A4B38AEF-44F1-4EA8-BB47-DC33F39AF63B}"/>
    <dataValidation type="list" allowBlank="1" showInputMessage="1" showErrorMessage="1" sqref="A17:H17" xr:uid="{B14A4FB6-9FE2-46FF-A87B-3EB5D5E72C18}">
      <formula1>$A$61:$A$68</formula1>
    </dataValidation>
  </dataValidations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2060"/>
  </sheetPr>
  <dimension ref="A1:P1055"/>
  <sheetViews>
    <sheetView view="pageBreakPreview" topLeftCell="A249" zoomScale="85" zoomScaleNormal="100" zoomScaleSheetLayoutView="85" workbookViewId="0">
      <selection activeCell="J278" sqref="J278"/>
    </sheetView>
  </sheetViews>
  <sheetFormatPr defaultRowHeight="15" x14ac:dyDescent="0.25"/>
  <cols>
    <col min="4" max="4" width="54.140625" customWidth="1"/>
    <col min="5" max="5" width="9.5703125" bestFit="1" customWidth="1"/>
    <col min="6" max="6" width="12.5703125" style="537" bestFit="1" customWidth="1"/>
    <col min="7" max="7" width="16.28515625" bestFit="1" customWidth="1"/>
    <col min="8" max="8" width="11.7109375" bestFit="1" customWidth="1"/>
    <col min="9" max="9" width="13.7109375" customWidth="1"/>
    <col min="10" max="10" width="15.140625" bestFit="1" customWidth="1"/>
    <col min="11" max="11" width="17" bestFit="1" customWidth="1"/>
    <col min="12" max="13" width="17.28515625" bestFit="1" customWidth="1"/>
    <col min="15" max="15" width="10" bestFit="1" customWidth="1"/>
  </cols>
  <sheetData>
    <row r="1" spans="1:13" ht="18" customHeight="1" x14ac:dyDescent="0.25">
      <c r="A1" s="25"/>
      <c r="B1" s="26"/>
      <c r="C1" s="26"/>
      <c r="D1" s="27"/>
      <c r="E1" s="777" t="s">
        <v>7</v>
      </c>
      <c r="F1" s="778"/>
      <c r="G1" s="778"/>
      <c r="H1" s="778"/>
      <c r="I1" s="778"/>
      <c r="J1" s="778"/>
    </row>
    <row r="2" spans="1:13" ht="20.45" customHeight="1" x14ac:dyDescent="0.25">
      <c r="A2" s="28"/>
      <c r="B2" s="29"/>
      <c r="C2" s="29"/>
      <c r="D2" s="424" t="s">
        <v>0</v>
      </c>
      <c r="E2" s="779" t="s">
        <v>22</v>
      </c>
      <c r="F2" s="780"/>
      <c r="G2" s="783" t="s">
        <v>469</v>
      </c>
      <c r="H2" s="783"/>
      <c r="I2" s="783"/>
      <c r="J2" s="783"/>
    </row>
    <row r="3" spans="1:13" ht="15.6" customHeight="1" x14ac:dyDescent="0.25">
      <c r="A3" s="28"/>
      <c r="B3" s="29"/>
      <c r="C3" s="29"/>
      <c r="D3" s="423" t="s">
        <v>1</v>
      </c>
      <c r="E3" s="781"/>
      <c r="F3" s="782"/>
      <c r="G3" s="783"/>
      <c r="H3" s="783"/>
      <c r="I3" s="783"/>
      <c r="J3" s="783"/>
    </row>
    <row r="4" spans="1:13" ht="15.6" customHeight="1" x14ac:dyDescent="0.25">
      <c r="A4" s="28"/>
      <c r="B4" s="29"/>
      <c r="C4" s="29"/>
      <c r="D4" s="32"/>
      <c r="E4" s="784" t="s">
        <v>23</v>
      </c>
      <c r="F4" s="785"/>
      <c r="G4" s="786" t="s">
        <v>269</v>
      </c>
      <c r="H4" s="786"/>
      <c r="I4" s="786"/>
      <c r="J4" s="786"/>
    </row>
    <row r="5" spans="1:13" ht="17.45" customHeight="1" x14ac:dyDescent="0.25">
      <c r="A5" s="28"/>
      <c r="B5" s="29"/>
      <c r="C5" s="29"/>
      <c r="D5" s="33"/>
      <c r="E5" s="790" t="s">
        <v>24</v>
      </c>
      <c r="F5" s="791"/>
      <c r="G5" s="792">
        <v>0.26140000000000002</v>
      </c>
      <c r="H5" s="792"/>
      <c r="I5" s="792"/>
      <c r="J5" s="792"/>
    </row>
    <row r="6" spans="1:13" ht="28.15" customHeight="1" x14ac:dyDescent="0.25">
      <c r="A6" s="34"/>
      <c r="B6" s="35"/>
      <c r="C6" s="35"/>
      <c r="D6" s="33"/>
      <c r="E6" s="793" t="s">
        <v>25</v>
      </c>
      <c r="F6" s="809"/>
      <c r="G6" s="795" t="s">
        <v>467</v>
      </c>
      <c r="H6" s="795"/>
      <c r="I6" s="795"/>
      <c r="J6" s="796"/>
    </row>
    <row r="7" spans="1:13" ht="28.9" customHeight="1" x14ac:dyDescent="0.25">
      <c r="A7" s="1" t="s">
        <v>2</v>
      </c>
      <c r="B7" s="810" t="s">
        <v>468</v>
      </c>
      <c r="C7" s="811"/>
      <c r="D7" s="811"/>
      <c r="E7" s="811"/>
      <c r="F7" s="811"/>
      <c r="G7" s="811"/>
      <c r="H7" s="811"/>
      <c r="I7" s="811"/>
      <c r="J7" s="811"/>
    </row>
    <row r="8" spans="1:13" ht="25.5" x14ac:dyDescent="0.25">
      <c r="A8" s="2" t="s">
        <v>3</v>
      </c>
      <c r="B8" s="2" t="s">
        <v>4</v>
      </c>
      <c r="C8" s="3" t="s">
        <v>14</v>
      </c>
      <c r="D8" s="3" t="s">
        <v>15</v>
      </c>
      <c r="E8" s="2" t="s">
        <v>16</v>
      </c>
      <c r="F8" s="528" t="s">
        <v>17</v>
      </c>
      <c r="G8" s="4" t="s">
        <v>18</v>
      </c>
      <c r="H8" s="5" t="s">
        <v>19</v>
      </c>
      <c r="I8" s="5" t="s">
        <v>20</v>
      </c>
      <c r="J8" s="4" t="s">
        <v>21</v>
      </c>
    </row>
    <row r="9" spans="1:13" s="509" customFormat="1" ht="38.25" x14ac:dyDescent="0.25">
      <c r="A9" s="9" t="s">
        <v>68</v>
      </c>
      <c r="B9" s="506" t="s">
        <v>586</v>
      </c>
      <c r="C9" s="507"/>
      <c r="D9" s="56" t="s">
        <v>44</v>
      </c>
      <c r="E9" s="12" t="s">
        <v>30</v>
      </c>
      <c r="F9" s="529">
        <f>MC!N70</f>
        <v>340.22</v>
      </c>
      <c r="G9" s="426">
        <f>COMPOSIÇÕES!J82</f>
        <v>68.89</v>
      </c>
      <c r="H9" s="508">
        <f t="shared" ref="H9:H72" si="0">ROUND(G9*$G$5,2)</f>
        <v>18.010000000000002</v>
      </c>
      <c r="I9" s="256">
        <f t="shared" ref="I9:I72" si="1">ROUND(G9+H9,2)</f>
        <v>86.9</v>
      </c>
      <c r="J9" s="257">
        <f t="shared" ref="J9:J72" si="2">ROUND(I9*F9,2)</f>
        <v>29565.119999999999</v>
      </c>
      <c r="L9" s="510">
        <f>ROUND(F9*G9,2)</f>
        <v>23437.759999999998</v>
      </c>
      <c r="M9" s="510">
        <f>ROUND(F9*I9,2)</f>
        <v>29565.119999999999</v>
      </c>
    </row>
    <row r="10" spans="1:13" s="509" customFormat="1" ht="38.25" x14ac:dyDescent="0.25">
      <c r="A10" s="9" t="s">
        <v>79</v>
      </c>
      <c r="B10" s="319" t="s">
        <v>586</v>
      </c>
      <c r="C10" s="319"/>
      <c r="D10" s="56" t="s">
        <v>44</v>
      </c>
      <c r="E10" s="436" t="s">
        <v>30</v>
      </c>
      <c r="F10" s="529">
        <f>MC!N94</f>
        <v>522.41</v>
      </c>
      <c r="G10" s="426">
        <f>COMPOSIÇÕES!J82</f>
        <v>68.89</v>
      </c>
      <c r="H10" s="508">
        <f t="shared" si="0"/>
        <v>18.010000000000002</v>
      </c>
      <c r="I10" s="256">
        <f t="shared" si="1"/>
        <v>86.9</v>
      </c>
      <c r="J10" s="257">
        <f t="shared" si="2"/>
        <v>45397.43</v>
      </c>
      <c r="L10" s="510">
        <f t="shared" ref="L10:L48" si="3">ROUND(F10*G10,2)</f>
        <v>35988.82</v>
      </c>
      <c r="M10" s="510">
        <f t="shared" ref="M10:M48" si="4">ROUND(F10*I10,2)</f>
        <v>45397.43</v>
      </c>
    </row>
    <row r="11" spans="1:13" s="509" customFormat="1" ht="38.25" x14ac:dyDescent="0.25">
      <c r="A11" s="8" t="s">
        <v>90</v>
      </c>
      <c r="B11" s="319" t="s">
        <v>586</v>
      </c>
      <c r="C11" s="319"/>
      <c r="D11" s="56" t="s">
        <v>44</v>
      </c>
      <c r="E11" s="436" t="s">
        <v>30</v>
      </c>
      <c r="F11" s="530">
        <f>MC!N117</f>
        <v>358.1</v>
      </c>
      <c r="G11" s="426">
        <f>COMPOSIÇÕES!J82</f>
        <v>68.89</v>
      </c>
      <c r="H11" s="511">
        <f t="shared" si="0"/>
        <v>18.010000000000002</v>
      </c>
      <c r="I11" s="14">
        <f t="shared" si="1"/>
        <v>86.9</v>
      </c>
      <c r="J11" s="15">
        <f t="shared" si="2"/>
        <v>31118.89</v>
      </c>
      <c r="L11" s="510">
        <f t="shared" si="3"/>
        <v>24669.51</v>
      </c>
      <c r="M11" s="510">
        <f t="shared" si="4"/>
        <v>31118.89</v>
      </c>
    </row>
    <row r="12" spans="1:13" s="509" customFormat="1" ht="38.25" x14ac:dyDescent="0.25">
      <c r="A12" s="9" t="s">
        <v>101</v>
      </c>
      <c r="B12" s="319" t="s">
        <v>586</v>
      </c>
      <c r="C12" s="320"/>
      <c r="D12" s="56" t="s">
        <v>44</v>
      </c>
      <c r="E12" s="9" t="s">
        <v>30</v>
      </c>
      <c r="F12" s="531">
        <f>MC!N140</f>
        <v>873.31</v>
      </c>
      <c r="G12" s="426">
        <f>COMPOSIÇÕES!J82</f>
        <v>68.89</v>
      </c>
      <c r="H12" s="508">
        <f t="shared" si="0"/>
        <v>18.010000000000002</v>
      </c>
      <c r="I12" s="256">
        <f t="shared" si="1"/>
        <v>86.9</v>
      </c>
      <c r="J12" s="257">
        <f t="shared" si="2"/>
        <v>75890.64</v>
      </c>
      <c r="L12" s="510">
        <f t="shared" si="3"/>
        <v>60162.33</v>
      </c>
      <c r="M12" s="510">
        <f t="shared" si="4"/>
        <v>75890.64</v>
      </c>
    </row>
    <row r="13" spans="1:13" s="509" customFormat="1" ht="38.25" x14ac:dyDescent="0.25">
      <c r="A13" s="9" t="s">
        <v>111</v>
      </c>
      <c r="B13" s="319" t="s">
        <v>586</v>
      </c>
      <c r="C13" s="320"/>
      <c r="D13" s="56" t="s">
        <v>44</v>
      </c>
      <c r="E13" s="9" t="s">
        <v>30</v>
      </c>
      <c r="F13" s="529">
        <f>MC!N164</f>
        <v>1365.36</v>
      </c>
      <c r="G13" s="426">
        <f>COMPOSIÇÕES!J82</f>
        <v>68.89</v>
      </c>
      <c r="H13" s="508">
        <f t="shared" si="0"/>
        <v>18.010000000000002</v>
      </c>
      <c r="I13" s="256">
        <f t="shared" si="1"/>
        <v>86.9</v>
      </c>
      <c r="J13" s="257">
        <f t="shared" si="2"/>
        <v>118649.78</v>
      </c>
      <c r="L13" s="510">
        <f t="shared" si="3"/>
        <v>94059.65</v>
      </c>
      <c r="M13" s="510">
        <f t="shared" si="4"/>
        <v>118649.78</v>
      </c>
    </row>
    <row r="14" spans="1:13" s="509" customFormat="1" ht="38.25" x14ac:dyDescent="0.25">
      <c r="A14" s="9" t="s">
        <v>121</v>
      </c>
      <c r="B14" s="319" t="s">
        <v>586</v>
      </c>
      <c r="C14" s="320"/>
      <c r="D14" s="56" t="s">
        <v>44</v>
      </c>
      <c r="E14" s="9" t="s">
        <v>30</v>
      </c>
      <c r="F14" s="531">
        <f>MC!N225</f>
        <v>696.97</v>
      </c>
      <c r="G14" s="426">
        <f>COMPOSIÇÕES!J82</f>
        <v>68.89</v>
      </c>
      <c r="H14" s="508">
        <f t="shared" si="0"/>
        <v>18.010000000000002</v>
      </c>
      <c r="I14" s="256">
        <f t="shared" si="1"/>
        <v>86.9</v>
      </c>
      <c r="J14" s="257">
        <f t="shared" si="2"/>
        <v>60566.69</v>
      </c>
      <c r="L14" s="510">
        <f t="shared" si="3"/>
        <v>48014.26</v>
      </c>
      <c r="M14" s="510">
        <f t="shared" si="4"/>
        <v>60566.69</v>
      </c>
    </row>
    <row r="15" spans="1:13" s="509" customFormat="1" ht="38.25" x14ac:dyDescent="0.25">
      <c r="A15" s="9" t="s">
        <v>131</v>
      </c>
      <c r="B15" s="319" t="s">
        <v>586</v>
      </c>
      <c r="C15" s="320"/>
      <c r="D15" s="56" t="s">
        <v>44</v>
      </c>
      <c r="E15" s="9" t="s">
        <v>30</v>
      </c>
      <c r="F15" s="531">
        <f>MC!N249</f>
        <v>629</v>
      </c>
      <c r="G15" s="426">
        <f>COMPOSIÇÕES!J82</f>
        <v>68.89</v>
      </c>
      <c r="H15" s="508">
        <f t="shared" si="0"/>
        <v>18.010000000000002</v>
      </c>
      <c r="I15" s="256">
        <f t="shared" si="1"/>
        <v>86.9</v>
      </c>
      <c r="J15" s="257">
        <f t="shared" si="2"/>
        <v>54660.1</v>
      </c>
      <c r="L15" s="510">
        <f t="shared" si="3"/>
        <v>43331.81</v>
      </c>
      <c r="M15" s="510">
        <f t="shared" si="4"/>
        <v>54660.1</v>
      </c>
    </row>
    <row r="16" spans="1:13" s="509" customFormat="1" ht="38.25" x14ac:dyDescent="0.25">
      <c r="A16" s="9" t="s">
        <v>141</v>
      </c>
      <c r="B16" s="512" t="s">
        <v>586</v>
      </c>
      <c r="C16" s="512"/>
      <c r="D16" s="513" t="s">
        <v>44</v>
      </c>
      <c r="E16" s="12" t="s">
        <v>30</v>
      </c>
      <c r="F16" s="532">
        <f>MC!N272</f>
        <v>1099.98</v>
      </c>
      <c r="G16" s="514">
        <f>COMPOSIÇÕES!J82</f>
        <v>68.89</v>
      </c>
      <c r="H16" s="508">
        <f t="shared" si="0"/>
        <v>18.010000000000002</v>
      </c>
      <c r="I16" s="256">
        <f t="shared" si="1"/>
        <v>86.9</v>
      </c>
      <c r="J16" s="257">
        <f t="shared" si="2"/>
        <v>95588.26</v>
      </c>
      <c r="L16" s="510">
        <f t="shared" si="3"/>
        <v>75777.62</v>
      </c>
      <c r="M16" s="510">
        <f t="shared" si="4"/>
        <v>95588.26</v>
      </c>
    </row>
    <row r="17" spans="1:13" s="509" customFormat="1" ht="38.25" x14ac:dyDescent="0.25">
      <c r="A17" s="9" t="s">
        <v>151</v>
      </c>
      <c r="B17" s="319" t="s">
        <v>586</v>
      </c>
      <c r="C17" s="319"/>
      <c r="D17" s="56" t="s">
        <v>44</v>
      </c>
      <c r="E17" s="9" t="s">
        <v>30</v>
      </c>
      <c r="F17" s="529">
        <f>MC!N336</f>
        <v>1746.94</v>
      </c>
      <c r="G17" s="426">
        <f>COMPOSIÇÕES!J82</f>
        <v>68.89</v>
      </c>
      <c r="H17" s="508">
        <f t="shared" si="0"/>
        <v>18.010000000000002</v>
      </c>
      <c r="I17" s="256">
        <f t="shared" si="1"/>
        <v>86.9</v>
      </c>
      <c r="J17" s="257">
        <f t="shared" si="2"/>
        <v>151809.09</v>
      </c>
      <c r="L17" s="510">
        <f t="shared" si="3"/>
        <v>120346.7</v>
      </c>
      <c r="M17" s="510">
        <f t="shared" si="4"/>
        <v>151809.09</v>
      </c>
    </row>
    <row r="18" spans="1:13" s="509" customFormat="1" ht="38.25" x14ac:dyDescent="0.25">
      <c r="A18" s="9" t="s">
        <v>162</v>
      </c>
      <c r="B18" s="319" t="s">
        <v>586</v>
      </c>
      <c r="C18" s="319"/>
      <c r="D18" s="56" t="s">
        <v>44</v>
      </c>
      <c r="E18" s="9" t="s">
        <v>30</v>
      </c>
      <c r="F18" s="529">
        <f>MC!N360</f>
        <v>693.32</v>
      </c>
      <c r="G18" s="426">
        <f>COMPOSIÇÕES!J82</f>
        <v>68.89</v>
      </c>
      <c r="H18" s="508">
        <f t="shared" si="0"/>
        <v>18.010000000000002</v>
      </c>
      <c r="I18" s="256">
        <f t="shared" si="1"/>
        <v>86.9</v>
      </c>
      <c r="J18" s="257">
        <f t="shared" si="2"/>
        <v>60249.51</v>
      </c>
      <c r="L18" s="510">
        <f t="shared" si="3"/>
        <v>47762.81</v>
      </c>
      <c r="M18" s="510">
        <f t="shared" si="4"/>
        <v>60249.51</v>
      </c>
    </row>
    <row r="19" spans="1:13" s="509" customFormat="1" ht="38.25" x14ac:dyDescent="0.25">
      <c r="A19" s="9" t="s">
        <v>172</v>
      </c>
      <c r="B19" s="319" t="s">
        <v>586</v>
      </c>
      <c r="C19" s="319"/>
      <c r="D19" s="56" t="s">
        <v>44</v>
      </c>
      <c r="E19" s="9" t="s">
        <v>30</v>
      </c>
      <c r="F19" s="531">
        <f>MC!N384</f>
        <v>667.5</v>
      </c>
      <c r="G19" s="426">
        <f>COMPOSIÇÕES!J82</f>
        <v>68.89</v>
      </c>
      <c r="H19" s="508">
        <f t="shared" si="0"/>
        <v>18.010000000000002</v>
      </c>
      <c r="I19" s="256">
        <f t="shared" si="1"/>
        <v>86.9</v>
      </c>
      <c r="J19" s="257">
        <f t="shared" si="2"/>
        <v>58005.75</v>
      </c>
      <c r="L19" s="510">
        <f t="shared" si="3"/>
        <v>45984.08</v>
      </c>
      <c r="M19" s="510">
        <f t="shared" si="4"/>
        <v>58005.75</v>
      </c>
    </row>
    <row r="20" spans="1:13" s="509" customFormat="1" ht="38.25" x14ac:dyDescent="0.25">
      <c r="A20" s="9" t="s">
        <v>323</v>
      </c>
      <c r="B20" s="319" t="s">
        <v>586</v>
      </c>
      <c r="C20" s="319"/>
      <c r="D20" s="56" t="s">
        <v>44</v>
      </c>
      <c r="E20" s="9" t="s">
        <v>30</v>
      </c>
      <c r="F20" s="531">
        <f>MC!N449</f>
        <v>3583.35</v>
      </c>
      <c r="G20" s="426">
        <f>COMPOSIÇÕES!J82</f>
        <v>68.89</v>
      </c>
      <c r="H20" s="508">
        <f t="shared" si="0"/>
        <v>18.010000000000002</v>
      </c>
      <c r="I20" s="256">
        <f t="shared" si="1"/>
        <v>86.9</v>
      </c>
      <c r="J20" s="257">
        <f t="shared" si="2"/>
        <v>311393.12</v>
      </c>
      <c r="L20" s="510">
        <f t="shared" si="3"/>
        <v>246856.98</v>
      </c>
      <c r="M20" s="510">
        <f t="shared" si="4"/>
        <v>311393.12</v>
      </c>
    </row>
    <row r="21" spans="1:13" s="509" customFormat="1" ht="38.25" x14ac:dyDescent="0.25">
      <c r="A21" s="9" t="s">
        <v>337</v>
      </c>
      <c r="B21" s="319" t="s">
        <v>586</v>
      </c>
      <c r="C21" s="319"/>
      <c r="D21" s="56" t="s">
        <v>44</v>
      </c>
      <c r="E21" s="9" t="s">
        <v>30</v>
      </c>
      <c r="F21" s="531">
        <f>MC!N481</f>
        <v>7292.03</v>
      </c>
      <c r="G21" s="426">
        <f>COMPOSIÇÕES!J82</f>
        <v>68.89</v>
      </c>
      <c r="H21" s="508">
        <f t="shared" si="0"/>
        <v>18.010000000000002</v>
      </c>
      <c r="I21" s="256">
        <f t="shared" si="1"/>
        <v>86.9</v>
      </c>
      <c r="J21" s="257">
        <f t="shared" si="2"/>
        <v>633677.41</v>
      </c>
      <c r="L21" s="510">
        <f t="shared" si="3"/>
        <v>502347.95</v>
      </c>
      <c r="M21" s="510">
        <f t="shared" si="4"/>
        <v>633677.41</v>
      </c>
    </row>
    <row r="22" spans="1:13" s="509" customFormat="1" ht="38.25" x14ac:dyDescent="0.25">
      <c r="A22" s="9" t="s">
        <v>356</v>
      </c>
      <c r="B22" s="319" t="s">
        <v>586</v>
      </c>
      <c r="C22" s="319"/>
      <c r="D22" s="56" t="s">
        <v>44</v>
      </c>
      <c r="E22" s="9" t="s">
        <v>30</v>
      </c>
      <c r="F22" s="531">
        <f>MC!N547</f>
        <v>1716.16</v>
      </c>
      <c r="G22" s="426">
        <f>COMPOSIÇÕES!J82</f>
        <v>68.89</v>
      </c>
      <c r="H22" s="508">
        <f t="shared" si="0"/>
        <v>18.010000000000002</v>
      </c>
      <c r="I22" s="256">
        <f t="shared" si="1"/>
        <v>86.9</v>
      </c>
      <c r="J22" s="257">
        <f t="shared" si="2"/>
        <v>149134.29999999999</v>
      </c>
      <c r="L22" s="510">
        <f t="shared" si="3"/>
        <v>118226.26</v>
      </c>
      <c r="M22" s="510">
        <f t="shared" si="4"/>
        <v>149134.29999999999</v>
      </c>
    </row>
    <row r="23" spans="1:13" s="509" customFormat="1" ht="38.25" x14ac:dyDescent="0.25">
      <c r="A23" s="9" t="s">
        <v>375</v>
      </c>
      <c r="B23" s="319" t="s">
        <v>586</v>
      </c>
      <c r="C23" s="319"/>
      <c r="D23" s="56" t="s">
        <v>44</v>
      </c>
      <c r="E23" s="9" t="s">
        <v>30</v>
      </c>
      <c r="F23" s="531">
        <f>MC!N608</f>
        <v>2719.89</v>
      </c>
      <c r="G23" s="426">
        <f>COMPOSIÇÕES!J82</f>
        <v>68.89</v>
      </c>
      <c r="H23" s="508">
        <f t="shared" si="0"/>
        <v>18.010000000000002</v>
      </c>
      <c r="I23" s="256">
        <f t="shared" si="1"/>
        <v>86.9</v>
      </c>
      <c r="J23" s="257">
        <f t="shared" si="2"/>
        <v>236358.44</v>
      </c>
      <c r="L23" s="510">
        <f t="shared" si="3"/>
        <v>187373.22</v>
      </c>
      <c r="M23" s="510">
        <f t="shared" si="4"/>
        <v>236358.44</v>
      </c>
    </row>
    <row r="24" spans="1:13" s="509" customFormat="1" ht="38.25" x14ac:dyDescent="0.25">
      <c r="A24" s="9" t="s">
        <v>385</v>
      </c>
      <c r="B24" s="319" t="s">
        <v>586</v>
      </c>
      <c r="C24" s="320"/>
      <c r="D24" s="56" t="s">
        <v>44</v>
      </c>
      <c r="E24" s="436" t="s">
        <v>30</v>
      </c>
      <c r="F24" s="531">
        <f>MC!N671</f>
        <v>930.55</v>
      </c>
      <c r="G24" s="426">
        <f>COMPOSIÇÕES!J82</f>
        <v>68.89</v>
      </c>
      <c r="H24" s="508">
        <f t="shared" si="0"/>
        <v>18.010000000000002</v>
      </c>
      <c r="I24" s="256">
        <f t="shared" si="1"/>
        <v>86.9</v>
      </c>
      <c r="J24" s="257">
        <f t="shared" si="2"/>
        <v>80864.800000000003</v>
      </c>
      <c r="L24" s="510">
        <f t="shared" si="3"/>
        <v>64105.59</v>
      </c>
      <c r="M24" s="510">
        <f t="shared" si="4"/>
        <v>80864.800000000003</v>
      </c>
    </row>
    <row r="25" spans="1:13" s="509" customFormat="1" ht="38.25" x14ac:dyDescent="0.25">
      <c r="A25" s="9" t="s">
        <v>395</v>
      </c>
      <c r="B25" s="319" t="s">
        <v>586</v>
      </c>
      <c r="C25" s="319"/>
      <c r="D25" s="56" t="s">
        <v>44</v>
      </c>
      <c r="E25" s="9" t="s">
        <v>30</v>
      </c>
      <c r="F25" s="531">
        <f>MC!N694</f>
        <v>1093.8</v>
      </c>
      <c r="G25" s="426">
        <f>COMPOSIÇÕES!J82</f>
        <v>68.89</v>
      </c>
      <c r="H25" s="508">
        <f t="shared" si="0"/>
        <v>18.010000000000002</v>
      </c>
      <c r="I25" s="256">
        <f t="shared" si="1"/>
        <v>86.9</v>
      </c>
      <c r="J25" s="257">
        <f t="shared" si="2"/>
        <v>95051.22</v>
      </c>
      <c r="K25" s="515"/>
      <c r="L25" s="510">
        <f t="shared" si="3"/>
        <v>75351.88</v>
      </c>
      <c r="M25" s="510">
        <f t="shared" si="4"/>
        <v>95051.22</v>
      </c>
    </row>
    <row r="26" spans="1:13" s="509" customFormat="1" ht="38.25" x14ac:dyDescent="0.25">
      <c r="A26" s="9" t="s">
        <v>650</v>
      </c>
      <c r="B26" s="506" t="s">
        <v>586</v>
      </c>
      <c r="C26" s="507"/>
      <c r="D26" s="56" t="s">
        <v>44</v>
      </c>
      <c r="E26" s="9" t="s">
        <v>30</v>
      </c>
      <c r="F26" s="531">
        <f>MC!N762</f>
        <v>945.89</v>
      </c>
      <c r="G26" s="426">
        <f>COMPOSIÇÕES!J82</f>
        <v>68.89</v>
      </c>
      <c r="H26" s="508">
        <f t="shared" si="0"/>
        <v>18.010000000000002</v>
      </c>
      <c r="I26" s="256">
        <f t="shared" si="1"/>
        <v>86.9</v>
      </c>
      <c r="J26" s="257">
        <f t="shared" si="2"/>
        <v>82197.84</v>
      </c>
      <c r="K26" s="515"/>
      <c r="L26" s="510">
        <f t="shared" si="3"/>
        <v>65162.36</v>
      </c>
      <c r="M26" s="510">
        <f t="shared" si="4"/>
        <v>82197.84</v>
      </c>
    </row>
    <row r="27" spans="1:13" s="509" customFormat="1" x14ac:dyDescent="0.25">
      <c r="A27" s="9" t="s">
        <v>9</v>
      </c>
      <c r="B27" s="319" t="s">
        <v>43</v>
      </c>
      <c r="C27" s="319"/>
      <c r="D27" s="56" t="s">
        <v>461</v>
      </c>
      <c r="E27" s="9" t="s">
        <v>437</v>
      </c>
      <c r="F27" s="529">
        <f>MC!N14</f>
        <v>8</v>
      </c>
      <c r="G27" s="516">
        <f>COMPOSIÇÕES!J15</f>
        <v>17674</v>
      </c>
      <c r="H27" s="508">
        <f t="shared" si="0"/>
        <v>4619.9799999999996</v>
      </c>
      <c r="I27" s="256">
        <f t="shared" si="1"/>
        <v>22293.98</v>
      </c>
      <c r="J27" s="257">
        <f t="shared" si="2"/>
        <v>178351.84</v>
      </c>
      <c r="L27" s="510">
        <f t="shared" si="3"/>
        <v>141392</v>
      </c>
      <c r="M27" s="510">
        <f t="shared" si="4"/>
        <v>178351.84</v>
      </c>
    </row>
    <row r="28" spans="1:13" s="509" customFormat="1" ht="25.5" x14ac:dyDescent="0.25">
      <c r="A28" s="9" t="s">
        <v>583</v>
      </c>
      <c r="B28" s="422" t="s">
        <v>584</v>
      </c>
      <c r="C28" s="106" t="s">
        <v>10</v>
      </c>
      <c r="D28" s="56" t="s">
        <v>585</v>
      </c>
      <c r="E28" s="9" t="s">
        <v>34</v>
      </c>
      <c r="F28" s="533">
        <f>MC!N49</f>
        <v>1.76</v>
      </c>
      <c r="G28" s="487">
        <v>334.55</v>
      </c>
      <c r="H28" s="517">
        <f t="shared" si="0"/>
        <v>87.45</v>
      </c>
      <c r="I28" s="420">
        <f t="shared" si="1"/>
        <v>422</v>
      </c>
      <c r="J28" s="421">
        <f t="shared" si="2"/>
        <v>742.72</v>
      </c>
      <c r="L28" s="510">
        <f t="shared" si="3"/>
        <v>588.80999999999995</v>
      </c>
      <c r="M28" s="510">
        <f t="shared" si="4"/>
        <v>742.72</v>
      </c>
    </row>
    <row r="29" spans="1:13" s="509" customFormat="1" ht="25.5" x14ac:dyDescent="0.25">
      <c r="A29" s="9" t="s">
        <v>580</v>
      </c>
      <c r="B29" s="422" t="s">
        <v>581</v>
      </c>
      <c r="C29" s="106" t="s">
        <v>10</v>
      </c>
      <c r="D29" s="56" t="s">
        <v>582</v>
      </c>
      <c r="E29" s="9" t="s">
        <v>34</v>
      </c>
      <c r="F29" s="533">
        <f>MC!N46</f>
        <v>1.76</v>
      </c>
      <c r="G29" s="487">
        <v>52.85</v>
      </c>
      <c r="H29" s="517">
        <f t="shared" si="0"/>
        <v>13.81</v>
      </c>
      <c r="I29" s="420">
        <f t="shared" si="1"/>
        <v>66.66</v>
      </c>
      <c r="J29" s="421">
        <f t="shared" si="2"/>
        <v>117.32</v>
      </c>
      <c r="L29" s="510">
        <f t="shared" si="3"/>
        <v>93.02</v>
      </c>
      <c r="M29" s="510">
        <f t="shared" si="4"/>
        <v>117.32</v>
      </c>
    </row>
    <row r="30" spans="1:13" s="509" customFormat="1" ht="25.5" x14ac:dyDescent="0.25">
      <c r="A30" s="9" t="s">
        <v>27</v>
      </c>
      <c r="B30" s="43" t="s">
        <v>28</v>
      </c>
      <c r="C30" s="42" t="s">
        <v>10</v>
      </c>
      <c r="D30" s="56" t="s">
        <v>29</v>
      </c>
      <c r="E30" s="9" t="s">
        <v>30</v>
      </c>
      <c r="F30" s="533">
        <f>MC!N18</f>
        <v>6</v>
      </c>
      <c r="G30" s="487">
        <v>225</v>
      </c>
      <c r="H30" s="511">
        <f t="shared" si="0"/>
        <v>58.82</v>
      </c>
      <c r="I30" s="14">
        <f t="shared" si="1"/>
        <v>283.82</v>
      </c>
      <c r="J30" s="15">
        <f t="shared" si="2"/>
        <v>1702.92</v>
      </c>
      <c r="L30" s="510">
        <f t="shared" si="3"/>
        <v>1350</v>
      </c>
      <c r="M30" s="510">
        <f t="shared" si="4"/>
        <v>1702.92</v>
      </c>
    </row>
    <row r="31" spans="1:13" s="509" customFormat="1" ht="25.5" x14ac:dyDescent="0.25">
      <c r="A31" s="9" t="s">
        <v>39</v>
      </c>
      <c r="B31" s="43" t="s">
        <v>576</v>
      </c>
      <c r="C31" s="440" t="s">
        <v>10</v>
      </c>
      <c r="D31" s="56" t="s">
        <v>577</v>
      </c>
      <c r="E31" s="436" t="s">
        <v>30</v>
      </c>
      <c r="F31" s="533">
        <f>MC!N40</f>
        <v>47</v>
      </c>
      <c r="G31" s="487">
        <v>519.75</v>
      </c>
      <c r="H31" s="517">
        <f t="shared" si="0"/>
        <v>135.86000000000001</v>
      </c>
      <c r="I31" s="420">
        <f t="shared" si="1"/>
        <v>655.61</v>
      </c>
      <c r="J31" s="421">
        <f t="shared" si="2"/>
        <v>30813.67</v>
      </c>
      <c r="L31" s="510">
        <f t="shared" si="3"/>
        <v>24428.25</v>
      </c>
      <c r="M31" s="510">
        <f t="shared" si="4"/>
        <v>30813.67</v>
      </c>
    </row>
    <row r="32" spans="1:13" s="509" customFormat="1" ht="39" x14ac:dyDescent="0.25">
      <c r="A32" s="9" t="s">
        <v>599</v>
      </c>
      <c r="B32" s="106" t="s">
        <v>666</v>
      </c>
      <c r="C32" s="42" t="s">
        <v>59</v>
      </c>
      <c r="D32" s="342" t="s">
        <v>274</v>
      </c>
      <c r="E32" s="9" t="s">
        <v>57</v>
      </c>
      <c r="F32" s="534">
        <f>MC!N204</f>
        <v>3</v>
      </c>
      <c r="G32" s="9">
        <v>824.48</v>
      </c>
      <c r="H32" s="508">
        <f t="shared" si="0"/>
        <v>215.52</v>
      </c>
      <c r="I32" s="256">
        <f t="shared" si="1"/>
        <v>1040</v>
      </c>
      <c r="J32" s="257">
        <f t="shared" si="2"/>
        <v>3120</v>
      </c>
      <c r="K32" s="515"/>
      <c r="L32" s="510">
        <f t="shared" si="3"/>
        <v>2473.44</v>
      </c>
      <c r="M32" s="510">
        <f t="shared" si="4"/>
        <v>3120</v>
      </c>
    </row>
    <row r="33" spans="1:14" s="509" customFormat="1" ht="39" x14ac:dyDescent="0.25">
      <c r="A33" s="9" t="s">
        <v>614</v>
      </c>
      <c r="B33" s="439" t="s">
        <v>666</v>
      </c>
      <c r="C33" s="441" t="s">
        <v>59</v>
      </c>
      <c r="D33" s="342" t="s">
        <v>274</v>
      </c>
      <c r="E33" s="9" t="s">
        <v>57</v>
      </c>
      <c r="F33" s="529">
        <f>MC!N316</f>
        <v>2</v>
      </c>
      <c r="G33" s="9">
        <v>824.48</v>
      </c>
      <c r="H33" s="508">
        <f t="shared" si="0"/>
        <v>215.52</v>
      </c>
      <c r="I33" s="256">
        <f t="shared" si="1"/>
        <v>1040</v>
      </c>
      <c r="J33" s="257">
        <f t="shared" si="2"/>
        <v>2080</v>
      </c>
      <c r="K33" s="515"/>
      <c r="L33" s="510">
        <f t="shared" si="3"/>
        <v>1648.96</v>
      </c>
      <c r="M33" s="510">
        <f t="shared" si="4"/>
        <v>2080</v>
      </c>
    </row>
    <row r="34" spans="1:14" s="509" customFormat="1" ht="39" x14ac:dyDescent="0.25">
      <c r="A34" s="8" t="s">
        <v>625</v>
      </c>
      <c r="B34" s="106" t="s">
        <v>666</v>
      </c>
      <c r="C34" s="42" t="s">
        <v>59</v>
      </c>
      <c r="D34" s="342" t="s">
        <v>274</v>
      </c>
      <c r="E34" s="9" t="s">
        <v>57</v>
      </c>
      <c r="F34" s="533">
        <f>MC!N427</f>
        <v>2</v>
      </c>
      <c r="G34" s="9">
        <v>824.48</v>
      </c>
      <c r="H34" s="511">
        <f t="shared" si="0"/>
        <v>215.52</v>
      </c>
      <c r="I34" s="14">
        <f t="shared" si="1"/>
        <v>1040</v>
      </c>
      <c r="J34" s="15">
        <f t="shared" si="2"/>
        <v>2080</v>
      </c>
      <c r="L34" s="510">
        <f t="shared" si="3"/>
        <v>1648.96</v>
      </c>
      <c r="M34" s="510">
        <f t="shared" si="4"/>
        <v>2080</v>
      </c>
    </row>
    <row r="35" spans="1:14" s="509" customFormat="1" ht="39" x14ac:dyDescent="0.25">
      <c r="A35" s="8" t="s">
        <v>327</v>
      </c>
      <c r="B35" s="106" t="s">
        <v>666</v>
      </c>
      <c r="C35" s="42" t="s">
        <v>59</v>
      </c>
      <c r="D35" s="342" t="s">
        <v>274</v>
      </c>
      <c r="E35" s="9" t="s">
        <v>57</v>
      </c>
      <c r="F35" s="533">
        <f>MC!N459</f>
        <v>9</v>
      </c>
      <c r="G35" s="9">
        <v>824.48</v>
      </c>
      <c r="H35" s="511">
        <f t="shared" si="0"/>
        <v>215.52</v>
      </c>
      <c r="I35" s="14">
        <f t="shared" si="1"/>
        <v>1040</v>
      </c>
      <c r="J35" s="15">
        <f t="shared" si="2"/>
        <v>9360</v>
      </c>
      <c r="L35" s="510">
        <f t="shared" si="3"/>
        <v>7420.32</v>
      </c>
      <c r="M35" s="510">
        <f t="shared" si="4"/>
        <v>9360</v>
      </c>
    </row>
    <row r="36" spans="1:14" s="509" customFormat="1" ht="39" x14ac:dyDescent="0.25">
      <c r="A36" s="9" t="s">
        <v>567</v>
      </c>
      <c r="B36" s="106" t="s">
        <v>666</v>
      </c>
      <c r="C36" s="42" t="s">
        <v>59</v>
      </c>
      <c r="D36" s="342" t="s">
        <v>274</v>
      </c>
      <c r="E36" s="9" t="s">
        <v>57</v>
      </c>
      <c r="F36" s="529">
        <f>MC!N525</f>
        <v>22</v>
      </c>
      <c r="G36" s="9">
        <v>824.48</v>
      </c>
      <c r="H36" s="508">
        <f t="shared" si="0"/>
        <v>215.52</v>
      </c>
      <c r="I36" s="256">
        <f t="shared" si="1"/>
        <v>1040</v>
      </c>
      <c r="J36" s="257">
        <f t="shared" si="2"/>
        <v>22880</v>
      </c>
      <c r="L36" s="510">
        <f t="shared" si="3"/>
        <v>18138.560000000001</v>
      </c>
      <c r="M36" s="510">
        <f t="shared" si="4"/>
        <v>22880</v>
      </c>
      <c r="N36" s="515"/>
    </row>
    <row r="37" spans="1:14" s="509" customFormat="1" ht="39" x14ac:dyDescent="0.25">
      <c r="A37" s="9" t="s">
        <v>570</v>
      </c>
      <c r="B37" s="106" t="s">
        <v>666</v>
      </c>
      <c r="C37" s="42" t="s">
        <v>59</v>
      </c>
      <c r="D37" s="342" t="s">
        <v>274</v>
      </c>
      <c r="E37" s="9" t="s">
        <v>57</v>
      </c>
      <c r="F37" s="529">
        <f>MC!N587</f>
        <v>6</v>
      </c>
      <c r="G37" s="9">
        <v>824.48</v>
      </c>
      <c r="H37" s="508">
        <f t="shared" si="0"/>
        <v>215.52</v>
      </c>
      <c r="I37" s="256">
        <f t="shared" si="1"/>
        <v>1040</v>
      </c>
      <c r="J37" s="257">
        <f t="shared" si="2"/>
        <v>6240</v>
      </c>
      <c r="L37" s="510">
        <f t="shared" si="3"/>
        <v>4946.88</v>
      </c>
      <c r="M37" s="510">
        <f t="shared" si="4"/>
        <v>6240</v>
      </c>
    </row>
    <row r="38" spans="1:14" s="509" customFormat="1" ht="39" x14ac:dyDescent="0.25">
      <c r="A38" s="9" t="s">
        <v>640</v>
      </c>
      <c r="B38" s="106" t="s">
        <v>666</v>
      </c>
      <c r="C38" s="10" t="s">
        <v>59</v>
      </c>
      <c r="D38" s="342" t="s">
        <v>274</v>
      </c>
      <c r="E38" s="436" t="s">
        <v>57</v>
      </c>
      <c r="F38" s="529">
        <f>MC!N651</f>
        <v>3</v>
      </c>
      <c r="G38" s="9">
        <v>824.48</v>
      </c>
      <c r="H38" s="508">
        <f t="shared" si="0"/>
        <v>215.52</v>
      </c>
      <c r="I38" s="256">
        <f t="shared" si="1"/>
        <v>1040</v>
      </c>
      <c r="J38" s="257">
        <f t="shared" si="2"/>
        <v>3120</v>
      </c>
      <c r="L38" s="510">
        <f t="shared" si="3"/>
        <v>2473.44</v>
      </c>
      <c r="M38" s="510">
        <f t="shared" si="4"/>
        <v>3120</v>
      </c>
    </row>
    <row r="39" spans="1:14" s="509" customFormat="1" ht="39" x14ac:dyDescent="0.25">
      <c r="A39" s="9" t="s">
        <v>641</v>
      </c>
      <c r="B39" s="106" t="s">
        <v>666</v>
      </c>
      <c r="C39" s="42" t="s">
        <v>59</v>
      </c>
      <c r="D39" s="342" t="s">
        <v>274</v>
      </c>
      <c r="E39" s="9" t="s">
        <v>57</v>
      </c>
      <c r="F39" s="529">
        <f>MC!N741</f>
        <v>1</v>
      </c>
      <c r="G39" s="9">
        <v>824.48</v>
      </c>
      <c r="H39" s="508">
        <f t="shared" si="0"/>
        <v>215.52</v>
      </c>
      <c r="I39" s="256">
        <f t="shared" si="1"/>
        <v>1040</v>
      </c>
      <c r="J39" s="257">
        <f t="shared" si="2"/>
        <v>1040</v>
      </c>
      <c r="K39" s="515"/>
      <c r="L39" s="510">
        <f t="shared" si="3"/>
        <v>824.48</v>
      </c>
      <c r="M39" s="510">
        <f t="shared" si="4"/>
        <v>1040</v>
      </c>
    </row>
    <row r="40" spans="1:14" s="509" customFormat="1" ht="39" x14ac:dyDescent="0.25">
      <c r="A40" s="9" t="s">
        <v>664</v>
      </c>
      <c r="B40" s="439" t="s">
        <v>666</v>
      </c>
      <c r="C40" s="441" t="s">
        <v>59</v>
      </c>
      <c r="D40" s="342" t="s">
        <v>274</v>
      </c>
      <c r="E40" s="9" t="s">
        <v>57</v>
      </c>
      <c r="F40" s="529">
        <f>MC!N802</f>
        <v>2</v>
      </c>
      <c r="G40" s="9">
        <v>824.48</v>
      </c>
      <c r="H40" s="508">
        <f t="shared" si="0"/>
        <v>215.52</v>
      </c>
      <c r="I40" s="256">
        <f t="shared" si="1"/>
        <v>1040</v>
      </c>
      <c r="J40" s="257">
        <f t="shared" si="2"/>
        <v>2080</v>
      </c>
      <c r="K40" s="515"/>
      <c r="L40" s="510">
        <f t="shared" si="3"/>
        <v>1648.96</v>
      </c>
      <c r="M40" s="510">
        <f t="shared" si="4"/>
        <v>2080</v>
      </c>
    </row>
    <row r="41" spans="1:14" s="509" customFormat="1" ht="25.5" x14ac:dyDescent="0.25">
      <c r="A41" s="9" t="s">
        <v>32</v>
      </c>
      <c r="B41" s="43" t="s">
        <v>574</v>
      </c>
      <c r="C41" s="9" t="s">
        <v>10</v>
      </c>
      <c r="D41" s="346" t="s">
        <v>575</v>
      </c>
      <c r="E41" s="9" t="s">
        <v>42</v>
      </c>
      <c r="F41" s="529">
        <f>MC!N37</f>
        <v>141</v>
      </c>
      <c r="G41" s="443">
        <v>96.35</v>
      </c>
      <c r="H41" s="517">
        <f t="shared" si="0"/>
        <v>25.19</v>
      </c>
      <c r="I41" s="420">
        <f t="shared" si="1"/>
        <v>121.54</v>
      </c>
      <c r="J41" s="421">
        <f t="shared" si="2"/>
        <v>17137.14</v>
      </c>
      <c r="L41" s="510">
        <f t="shared" si="3"/>
        <v>13585.35</v>
      </c>
      <c r="M41" s="510">
        <f t="shared" si="4"/>
        <v>17137.14</v>
      </c>
    </row>
    <row r="42" spans="1:14" s="509" customFormat="1" ht="25.5" x14ac:dyDescent="0.25">
      <c r="A42" s="9" t="s">
        <v>46</v>
      </c>
      <c r="B42" s="422" t="s">
        <v>578</v>
      </c>
      <c r="C42" s="106" t="s">
        <v>10</v>
      </c>
      <c r="D42" s="56" t="s">
        <v>579</v>
      </c>
      <c r="E42" s="9" t="s">
        <v>57</v>
      </c>
      <c r="F42" s="533">
        <f>MC!N43</f>
        <v>47</v>
      </c>
      <c r="G42" s="487">
        <v>74.25</v>
      </c>
      <c r="H42" s="517">
        <f t="shared" si="0"/>
        <v>19.41</v>
      </c>
      <c r="I42" s="420">
        <f t="shared" si="1"/>
        <v>93.66</v>
      </c>
      <c r="J42" s="421">
        <f t="shared" si="2"/>
        <v>4402.0200000000004</v>
      </c>
      <c r="L42" s="510">
        <f t="shared" si="3"/>
        <v>3489.75</v>
      </c>
      <c r="M42" s="510">
        <f t="shared" si="4"/>
        <v>4402.0200000000004</v>
      </c>
    </row>
    <row r="43" spans="1:14" s="509" customFormat="1" ht="38.25" x14ac:dyDescent="0.25">
      <c r="A43" s="9" t="s">
        <v>473</v>
      </c>
      <c r="B43" s="106" t="s">
        <v>691</v>
      </c>
      <c r="C43" s="9" t="s">
        <v>10</v>
      </c>
      <c r="D43" s="104" t="s">
        <v>272</v>
      </c>
      <c r="E43" s="347" t="s">
        <v>30</v>
      </c>
      <c r="F43" s="540">
        <f>MC!N729</f>
        <v>685.29</v>
      </c>
      <c r="G43" s="9">
        <v>11.94</v>
      </c>
      <c r="H43" s="508">
        <f t="shared" si="0"/>
        <v>3.12</v>
      </c>
      <c r="I43" s="256">
        <f t="shared" si="1"/>
        <v>15.06</v>
      </c>
      <c r="J43" s="257">
        <f t="shared" si="2"/>
        <v>10320.469999999999</v>
      </c>
      <c r="L43" s="510">
        <f t="shared" si="3"/>
        <v>8182.36</v>
      </c>
      <c r="M43" s="510">
        <f t="shared" si="4"/>
        <v>10320.469999999999</v>
      </c>
    </row>
    <row r="44" spans="1:14" s="509" customFormat="1" ht="39" x14ac:dyDescent="0.25">
      <c r="A44" s="9" t="s">
        <v>592</v>
      </c>
      <c r="B44" s="106">
        <v>101620</v>
      </c>
      <c r="C44" s="9" t="s">
        <v>10</v>
      </c>
      <c r="D44" s="342" t="s">
        <v>53</v>
      </c>
      <c r="E44" s="9" t="s">
        <v>34</v>
      </c>
      <c r="F44" s="538">
        <f>MC!N183</f>
        <v>8.25</v>
      </c>
      <c r="G44" s="9">
        <v>151.87</v>
      </c>
      <c r="H44" s="508">
        <f t="shared" si="0"/>
        <v>39.700000000000003</v>
      </c>
      <c r="I44" s="256">
        <f t="shared" si="1"/>
        <v>191.57</v>
      </c>
      <c r="J44" s="257">
        <f t="shared" si="2"/>
        <v>1580.45</v>
      </c>
      <c r="K44" s="518">
        <f>ROUND(SUM(J44:J51),2)</f>
        <v>45888.68</v>
      </c>
      <c r="L44" s="510">
        <f t="shared" si="3"/>
        <v>1252.93</v>
      </c>
      <c r="M44" s="510">
        <f t="shared" si="4"/>
        <v>1580.45</v>
      </c>
    </row>
    <row r="45" spans="1:14" s="509" customFormat="1" ht="39" x14ac:dyDescent="0.25">
      <c r="A45" s="9" t="s">
        <v>606</v>
      </c>
      <c r="B45" s="106">
        <v>101620</v>
      </c>
      <c r="C45" s="440" t="s">
        <v>10</v>
      </c>
      <c r="D45" s="342" t="s">
        <v>53</v>
      </c>
      <c r="E45" s="436" t="s">
        <v>34</v>
      </c>
      <c r="F45" s="538">
        <f>MC!N292</f>
        <v>3.76</v>
      </c>
      <c r="G45" s="9">
        <v>151.87</v>
      </c>
      <c r="H45" s="508">
        <f t="shared" si="0"/>
        <v>39.700000000000003</v>
      </c>
      <c r="I45" s="256">
        <f t="shared" si="1"/>
        <v>191.57</v>
      </c>
      <c r="J45" s="257">
        <f t="shared" si="2"/>
        <v>720.3</v>
      </c>
      <c r="L45" s="510">
        <f t="shared" si="3"/>
        <v>571.03</v>
      </c>
      <c r="M45" s="510">
        <f t="shared" si="4"/>
        <v>720.3</v>
      </c>
    </row>
    <row r="46" spans="1:14" s="509" customFormat="1" ht="39" x14ac:dyDescent="0.25">
      <c r="A46" s="8" t="s">
        <v>617</v>
      </c>
      <c r="B46" s="343">
        <v>101620</v>
      </c>
      <c r="C46" s="8" t="s">
        <v>10</v>
      </c>
      <c r="D46" s="345" t="s">
        <v>53</v>
      </c>
      <c r="E46" s="8" t="s">
        <v>34</v>
      </c>
      <c r="F46" s="539">
        <f>MC!N403</f>
        <v>3.1</v>
      </c>
      <c r="G46" s="8">
        <v>151.87</v>
      </c>
      <c r="H46" s="511">
        <f t="shared" si="0"/>
        <v>39.700000000000003</v>
      </c>
      <c r="I46" s="14">
        <f t="shared" si="1"/>
        <v>191.57</v>
      </c>
      <c r="J46" s="15">
        <f t="shared" si="2"/>
        <v>593.87</v>
      </c>
      <c r="K46" s="515"/>
      <c r="L46" s="510">
        <f t="shared" si="3"/>
        <v>470.8</v>
      </c>
      <c r="M46" s="510">
        <f t="shared" si="4"/>
        <v>593.87</v>
      </c>
    </row>
    <row r="47" spans="1:14" s="509" customFormat="1" ht="39" x14ac:dyDescent="0.25">
      <c r="A47" s="9" t="s">
        <v>344</v>
      </c>
      <c r="B47" s="439">
        <v>101620</v>
      </c>
      <c r="C47" s="436" t="s">
        <v>10</v>
      </c>
      <c r="D47" s="342" t="s">
        <v>53</v>
      </c>
      <c r="E47" s="9" t="s">
        <v>34</v>
      </c>
      <c r="F47" s="538">
        <f>MC!N501</f>
        <v>47.86</v>
      </c>
      <c r="G47" s="9">
        <v>151.87</v>
      </c>
      <c r="H47" s="508">
        <f t="shared" si="0"/>
        <v>39.700000000000003</v>
      </c>
      <c r="I47" s="256">
        <f t="shared" si="1"/>
        <v>191.57</v>
      </c>
      <c r="J47" s="257">
        <f t="shared" si="2"/>
        <v>9168.5400000000009</v>
      </c>
      <c r="K47" s="515"/>
      <c r="L47" s="510">
        <f t="shared" si="3"/>
        <v>7268.5</v>
      </c>
      <c r="M47" s="510">
        <f t="shared" si="4"/>
        <v>9168.5400000000009</v>
      </c>
    </row>
    <row r="48" spans="1:14" s="509" customFormat="1" ht="39" x14ac:dyDescent="0.25">
      <c r="A48" s="9" t="s">
        <v>363</v>
      </c>
      <c r="B48" s="106">
        <v>101620</v>
      </c>
      <c r="C48" s="9" t="s">
        <v>10</v>
      </c>
      <c r="D48" s="342" t="s">
        <v>53</v>
      </c>
      <c r="E48" s="9" t="s">
        <v>34</v>
      </c>
      <c r="F48" s="538">
        <f>MC!N566</f>
        <v>19.77</v>
      </c>
      <c r="G48" s="9">
        <v>151.87</v>
      </c>
      <c r="H48" s="508">
        <f t="shared" si="0"/>
        <v>39.700000000000003</v>
      </c>
      <c r="I48" s="256">
        <f t="shared" si="1"/>
        <v>191.57</v>
      </c>
      <c r="J48" s="257">
        <f t="shared" si="2"/>
        <v>3787.34</v>
      </c>
      <c r="L48" s="510">
        <f t="shared" si="3"/>
        <v>3002.47</v>
      </c>
      <c r="M48" s="510">
        <f t="shared" si="4"/>
        <v>3787.34</v>
      </c>
      <c r="N48" s="515"/>
    </row>
    <row r="49" spans="1:14" s="509" customFormat="1" ht="39" x14ac:dyDescent="0.25">
      <c r="A49" s="9" t="s">
        <v>632</v>
      </c>
      <c r="B49" s="106">
        <v>101620</v>
      </c>
      <c r="C49" s="9" t="s">
        <v>10</v>
      </c>
      <c r="D49" s="342" t="s">
        <v>53</v>
      </c>
      <c r="E49" s="9" t="s">
        <v>34</v>
      </c>
      <c r="F49" s="538">
        <f>MC!N627</f>
        <v>7.79</v>
      </c>
      <c r="G49" s="9">
        <v>151.87</v>
      </c>
      <c r="H49" s="508">
        <f t="shared" si="0"/>
        <v>39.700000000000003</v>
      </c>
      <c r="I49" s="256">
        <f t="shared" si="1"/>
        <v>191.57</v>
      </c>
      <c r="J49" s="257">
        <f t="shared" si="2"/>
        <v>1492.33</v>
      </c>
      <c r="L49" s="510">
        <f t="shared" ref="L49:L88" si="5">ROUND(F49*G49,2)</f>
        <v>1183.07</v>
      </c>
      <c r="M49" s="510">
        <f t="shared" ref="M49:M88" si="6">ROUND(F49*I49,2)</f>
        <v>1492.33</v>
      </c>
    </row>
    <row r="50" spans="1:14" s="509" customFormat="1" ht="39" x14ac:dyDescent="0.25">
      <c r="A50" s="9" t="s">
        <v>403</v>
      </c>
      <c r="B50" s="343">
        <v>101620</v>
      </c>
      <c r="C50" s="8" t="s">
        <v>10</v>
      </c>
      <c r="D50" s="345" t="s">
        <v>53</v>
      </c>
      <c r="E50" s="8" t="s">
        <v>34</v>
      </c>
      <c r="F50" s="538">
        <f>MC!N717</f>
        <v>26.98</v>
      </c>
      <c r="G50" s="9">
        <v>151.87</v>
      </c>
      <c r="H50" s="508">
        <f t="shared" si="0"/>
        <v>39.700000000000003</v>
      </c>
      <c r="I50" s="256">
        <f t="shared" si="1"/>
        <v>191.57</v>
      </c>
      <c r="J50" s="257">
        <f t="shared" si="2"/>
        <v>5168.5600000000004</v>
      </c>
      <c r="L50" s="510">
        <f t="shared" si="5"/>
        <v>4097.45</v>
      </c>
      <c r="M50" s="510">
        <f t="shared" si="6"/>
        <v>5168.5600000000004</v>
      </c>
    </row>
    <row r="51" spans="1:14" s="509" customFormat="1" ht="39" x14ac:dyDescent="0.25">
      <c r="A51" s="9" t="s">
        <v>657</v>
      </c>
      <c r="B51" s="106">
        <v>101620</v>
      </c>
      <c r="C51" s="9" t="s">
        <v>10</v>
      </c>
      <c r="D51" s="342" t="s">
        <v>53</v>
      </c>
      <c r="E51" s="9" t="s">
        <v>34</v>
      </c>
      <c r="F51" s="538">
        <f>MC!N781</f>
        <v>122.03</v>
      </c>
      <c r="G51" s="9">
        <v>151.87</v>
      </c>
      <c r="H51" s="508">
        <f t="shared" si="0"/>
        <v>39.700000000000003</v>
      </c>
      <c r="I51" s="256">
        <f t="shared" si="1"/>
        <v>191.57</v>
      </c>
      <c r="J51" s="257">
        <f t="shared" si="2"/>
        <v>23377.29</v>
      </c>
      <c r="L51" s="510">
        <f t="shared" si="5"/>
        <v>18532.7</v>
      </c>
      <c r="M51" s="510">
        <f t="shared" si="6"/>
        <v>23377.29</v>
      </c>
    </row>
    <row r="52" spans="1:14" s="509" customFormat="1" ht="38.25" x14ac:dyDescent="0.25">
      <c r="A52" s="9" t="s">
        <v>596</v>
      </c>
      <c r="B52" s="106">
        <v>101572</v>
      </c>
      <c r="C52" s="440" t="s">
        <v>10</v>
      </c>
      <c r="D52" s="104" t="s">
        <v>275</v>
      </c>
      <c r="E52" s="442" t="s">
        <v>30</v>
      </c>
      <c r="F52" s="540">
        <f>MC!N195</f>
        <v>111.58</v>
      </c>
      <c r="G52" s="9">
        <v>11.94</v>
      </c>
      <c r="H52" s="508">
        <f t="shared" si="0"/>
        <v>3.12</v>
      </c>
      <c r="I52" s="256">
        <f t="shared" si="1"/>
        <v>15.06</v>
      </c>
      <c r="J52" s="257">
        <f t="shared" si="2"/>
        <v>1680.39</v>
      </c>
      <c r="L52" s="510">
        <f t="shared" si="5"/>
        <v>1332.27</v>
      </c>
      <c r="M52" s="510">
        <f t="shared" si="6"/>
        <v>1680.39</v>
      </c>
    </row>
    <row r="53" spans="1:14" s="509" customFormat="1" ht="38.25" x14ac:dyDescent="0.25">
      <c r="A53" s="9" t="s">
        <v>610</v>
      </c>
      <c r="B53" s="106">
        <v>101572</v>
      </c>
      <c r="C53" s="9" t="s">
        <v>10</v>
      </c>
      <c r="D53" s="104" t="s">
        <v>275</v>
      </c>
      <c r="E53" s="347" t="s">
        <v>30</v>
      </c>
      <c r="F53" s="540">
        <f>MC!N304</f>
        <v>51.43</v>
      </c>
      <c r="G53" s="9">
        <v>11.94</v>
      </c>
      <c r="H53" s="508">
        <f t="shared" si="0"/>
        <v>3.12</v>
      </c>
      <c r="I53" s="256">
        <f t="shared" si="1"/>
        <v>15.06</v>
      </c>
      <c r="J53" s="257">
        <f t="shared" si="2"/>
        <v>774.54</v>
      </c>
      <c r="K53" s="515"/>
      <c r="L53" s="510">
        <f t="shared" si="5"/>
        <v>614.07000000000005</v>
      </c>
      <c r="M53" s="510">
        <f t="shared" si="6"/>
        <v>774.54</v>
      </c>
    </row>
    <row r="54" spans="1:14" s="509" customFormat="1" ht="38.25" x14ac:dyDescent="0.25">
      <c r="A54" s="8" t="s">
        <v>621</v>
      </c>
      <c r="B54" s="439">
        <v>101572</v>
      </c>
      <c r="C54" s="436" t="s">
        <v>10</v>
      </c>
      <c r="D54" s="104" t="s">
        <v>275</v>
      </c>
      <c r="E54" s="347" t="s">
        <v>30</v>
      </c>
      <c r="F54" s="541">
        <f>MC!N415</f>
        <v>42.73</v>
      </c>
      <c r="G54" s="8">
        <v>11.94</v>
      </c>
      <c r="H54" s="511">
        <f t="shared" si="0"/>
        <v>3.12</v>
      </c>
      <c r="I54" s="14">
        <f t="shared" si="1"/>
        <v>15.06</v>
      </c>
      <c r="J54" s="15">
        <f t="shared" si="2"/>
        <v>643.51</v>
      </c>
      <c r="K54" s="515"/>
      <c r="L54" s="510">
        <f t="shared" si="5"/>
        <v>510.2</v>
      </c>
      <c r="M54" s="510">
        <f t="shared" si="6"/>
        <v>643.51</v>
      </c>
    </row>
    <row r="55" spans="1:14" s="509" customFormat="1" ht="38.25" x14ac:dyDescent="0.25">
      <c r="A55" s="9" t="s">
        <v>626</v>
      </c>
      <c r="B55" s="106">
        <v>101572</v>
      </c>
      <c r="C55" s="9" t="s">
        <v>10</v>
      </c>
      <c r="D55" s="104" t="s">
        <v>275</v>
      </c>
      <c r="E55" s="347" t="s">
        <v>30</v>
      </c>
      <c r="F55" s="540">
        <f>MC!N513</f>
        <v>946.12</v>
      </c>
      <c r="G55" s="9">
        <v>11.94</v>
      </c>
      <c r="H55" s="508">
        <f t="shared" si="0"/>
        <v>3.12</v>
      </c>
      <c r="I55" s="256">
        <f t="shared" si="1"/>
        <v>15.06</v>
      </c>
      <c r="J55" s="257">
        <f t="shared" si="2"/>
        <v>14248.57</v>
      </c>
      <c r="L55" s="510">
        <f t="shared" si="5"/>
        <v>11296.67</v>
      </c>
      <c r="M55" s="510">
        <f t="shared" si="6"/>
        <v>14248.57</v>
      </c>
    </row>
    <row r="56" spans="1:14" s="509" customFormat="1" ht="38.25" x14ac:dyDescent="0.25">
      <c r="A56" s="9" t="s">
        <v>665</v>
      </c>
      <c r="B56" s="106">
        <v>101572</v>
      </c>
      <c r="C56" s="9" t="s">
        <v>10</v>
      </c>
      <c r="D56" s="104" t="s">
        <v>275</v>
      </c>
      <c r="E56" s="347" t="s">
        <v>30</v>
      </c>
      <c r="F56" s="540">
        <f>MC!N578</f>
        <v>263.43</v>
      </c>
      <c r="G56" s="9">
        <v>11.94</v>
      </c>
      <c r="H56" s="508">
        <f t="shared" si="0"/>
        <v>3.12</v>
      </c>
      <c r="I56" s="256">
        <f t="shared" si="1"/>
        <v>15.06</v>
      </c>
      <c r="J56" s="257">
        <f t="shared" si="2"/>
        <v>3967.26</v>
      </c>
      <c r="L56" s="510">
        <f t="shared" si="5"/>
        <v>3145.35</v>
      </c>
      <c r="M56" s="510">
        <f t="shared" si="6"/>
        <v>3967.26</v>
      </c>
    </row>
    <row r="57" spans="1:14" s="509" customFormat="1" ht="38.25" x14ac:dyDescent="0.25">
      <c r="A57" s="9" t="s">
        <v>636</v>
      </c>
      <c r="B57" s="106">
        <v>101572</v>
      </c>
      <c r="C57" s="9" t="s">
        <v>10</v>
      </c>
      <c r="D57" s="104" t="s">
        <v>275</v>
      </c>
      <c r="E57" s="347" t="s">
        <v>30</v>
      </c>
      <c r="F57" s="540">
        <f>MC!N639</f>
        <v>103.86</v>
      </c>
      <c r="G57" s="9">
        <v>11.94</v>
      </c>
      <c r="H57" s="508">
        <f t="shared" si="0"/>
        <v>3.12</v>
      </c>
      <c r="I57" s="256">
        <f t="shared" si="1"/>
        <v>15.06</v>
      </c>
      <c r="J57" s="257">
        <f t="shared" si="2"/>
        <v>1564.13</v>
      </c>
      <c r="L57" s="510">
        <f t="shared" si="5"/>
        <v>1240.0899999999999</v>
      </c>
      <c r="M57" s="510">
        <f t="shared" si="6"/>
        <v>1564.13</v>
      </c>
    </row>
    <row r="58" spans="1:14" s="509" customFormat="1" ht="38.25" x14ac:dyDescent="0.25">
      <c r="A58" s="9" t="s">
        <v>661</v>
      </c>
      <c r="B58" s="106">
        <v>101572</v>
      </c>
      <c r="C58" s="9" t="s">
        <v>10</v>
      </c>
      <c r="D58" s="104" t="s">
        <v>275</v>
      </c>
      <c r="E58" s="347" t="s">
        <v>30</v>
      </c>
      <c r="F58" s="540">
        <f>MC!N793</f>
        <v>88.55</v>
      </c>
      <c r="G58" s="9">
        <v>11.94</v>
      </c>
      <c r="H58" s="508">
        <f t="shared" si="0"/>
        <v>3.12</v>
      </c>
      <c r="I58" s="256">
        <f t="shared" si="1"/>
        <v>15.06</v>
      </c>
      <c r="J58" s="257">
        <f t="shared" si="2"/>
        <v>1333.56</v>
      </c>
      <c r="L58" s="510">
        <f t="shared" si="5"/>
        <v>1057.29</v>
      </c>
      <c r="M58" s="510">
        <f t="shared" si="6"/>
        <v>1333.56</v>
      </c>
    </row>
    <row r="59" spans="1:14" s="509" customFormat="1" ht="25.5" x14ac:dyDescent="0.25">
      <c r="A59" s="8" t="s">
        <v>62</v>
      </c>
      <c r="B59" s="542">
        <v>101114</v>
      </c>
      <c r="C59" s="9" t="s">
        <v>10</v>
      </c>
      <c r="D59" s="519" t="s">
        <v>270</v>
      </c>
      <c r="E59" s="9" t="s">
        <v>34</v>
      </c>
      <c r="F59" s="544">
        <f>MC!N55</f>
        <v>37.25</v>
      </c>
      <c r="G59" s="8">
        <v>2.91</v>
      </c>
      <c r="H59" s="511">
        <f t="shared" si="0"/>
        <v>0.76</v>
      </c>
      <c r="I59" s="14">
        <f t="shared" si="1"/>
        <v>3.67</v>
      </c>
      <c r="J59" s="15">
        <f t="shared" si="2"/>
        <v>136.71</v>
      </c>
      <c r="K59" s="518">
        <f>J59+J60+J61+J62+J63+J64+J65+J66+J67+J68+J69+J70+J71+J72+J73+J74+J75+J76</f>
        <v>6479.97</v>
      </c>
      <c r="L59" s="510">
        <f t="shared" si="5"/>
        <v>108.4</v>
      </c>
      <c r="M59" s="510">
        <f t="shared" si="6"/>
        <v>136.71</v>
      </c>
    </row>
    <row r="60" spans="1:14" s="509" customFormat="1" ht="25.5" x14ac:dyDescent="0.25">
      <c r="A60" s="8" t="s">
        <v>73</v>
      </c>
      <c r="B60" s="542">
        <v>101114</v>
      </c>
      <c r="C60" s="9" t="s">
        <v>10</v>
      </c>
      <c r="D60" s="519" t="s">
        <v>270</v>
      </c>
      <c r="E60" s="9" t="s">
        <v>34</v>
      </c>
      <c r="F60" s="545">
        <f>MC!N78</f>
        <v>47.24</v>
      </c>
      <c r="G60" s="8">
        <v>2.91</v>
      </c>
      <c r="H60" s="511">
        <f t="shared" si="0"/>
        <v>0.76</v>
      </c>
      <c r="I60" s="14">
        <f t="shared" si="1"/>
        <v>3.67</v>
      </c>
      <c r="J60" s="15">
        <f t="shared" si="2"/>
        <v>173.37</v>
      </c>
      <c r="K60" s="561">
        <f>SUM(F59:F76)</f>
        <v>1765.66</v>
      </c>
      <c r="L60" s="510">
        <f t="shared" si="5"/>
        <v>137.47</v>
      </c>
      <c r="M60" s="510">
        <f t="shared" si="6"/>
        <v>173.37</v>
      </c>
      <c r="N60" s="515"/>
    </row>
    <row r="61" spans="1:14" s="509" customFormat="1" ht="25.5" x14ac:dyDescent="0.25">
      <c r="A61" s="8" t="s">
        <v>84</v>
      </c>
      <c r="B61" s="542">
        <v>101114</v>
      </c>
      <c r="C61" s="9" t="s">
        <v>10</v>
      </c>
      <c r="D61" s="519" t="s">
        <v>270</v>
      </c>
      <c r="E61" s="9" t="s">
        <v>34</v>
      </c>
      <c r="F61" s="544">
        <f>MC!N102</f>
        <v>34.94</v>
      </c>
      <c r="G61" s="8">
        <v>2.91</v>
      </c>
      <c r="H61" s="511">
        <f t="shared" si="0"/>
        <v>0.76</v>
      </c>
      <c r="I61" s="14">
        <f t="shared" si="1"/>
        <v>3.67</v>
      </c>
      <c r="J61" s="15">
        <f t="shared" si="2"/>
        <v>128.22999999999999</v>
      </c>
      <c r="L61" s="510">
        <f t="shared" si="5"/>
        <v>101.68</v>
      </c>
      <c r="M61" s="510">
        <f t="shared" si="6"/>
        <v>128.22999999999999</v>
      </c>
    </row>
    <row r="62" spans="1:14" s="509" customFormat="1" ht="25.5" x14ac:dyDescent="0.25">
      <c r="A62" s="8" t="s">
        <v>95</v>
      </c>
      <c r="B62" s="542">
        <v>101114</v>
      </c>
      <c r="C62" s="9" t="s">
        <v>10</v>
      </c>
      <c r="D62" s="519" t="s">
        <v>270</v>
      </c>
      <c r="E62" s="9" t="s">
        <v>34</v>
      </c>
      <c r="F62" s="544">
        <f>MC!N125</f>
        <v>88.87</v>
      </c>
      <c r="G62" s="8">
        <v>2.91</v>
      </c>
      <c r="H62" s="511">
        <f t="shared" si="0"/>
        <v>0.76</v>
      </c>
      <c r="I62" s="14">
        <f t="shared" si="1"/>
        <v>3.67</v>
      </c>
      <c r="J62" s="15">
        <f t="shared" si="2"/>
        <v>326.14999999999998</v>
      </c>
      <c r="L62" s="510">
        <f t="shared" si="5"/>
        <v>258.61</v>
      </c>
      <c r="M62" s="510">
        <f t="shared" si="6"/>
        <v>326.14999999999998</v>
      </c>
    </row>
    <row r="63" spans="1:14" s="509" customFormat="1" ht="25.5" x14ac:dyDescent="0.25">
      <c r="A63" s="8" t="s">
        <v>105</v>
      </c>
      <c r="B63" s="542">
        <v>101114</v>
      </c>
      <c r="C63" s="9" t="s">
        <v>10</v>
      </c>
      <c r="D63" s="519" t="s">
        <v>270</v>
      </c>
      <c r="E63" s="9" t="s">
        <v>34</v>
      </c>
      <c r="F63" s="544">
        <f>MC!N148</f>
        <v>76.150000000000006</v>
      </c>
      <c r="G63" s="8">
        <v>2.91</v>
      </c>
      <c r="H63" s="511">
        <f t="shared" si="0"/>
        <v>0.76</v>
      </c>
      <c r="I63" s="14">
        <f t="shared" si="1"/>
        <v>3.67</v>
      </c>
      <c r="J63" s="15">
        <f t="shared" si="2"/>
        <v>279.47000000000003</v>
      </c>
      <c r="L63" s="510">
        <f t="shared" si="5"/>
        <v>221.6</v>
      </c>
      <c r="M63" s="510">
        <f t="shared" si="6"/>
        <v>279.47000000000003</v>
      </c>
    </row>
    <row r="64" spans="1:14" s="509" customFormat="1" ht="25.5" x14ac:dyDescent="0.25">
      <c r="A64" s="8" t="s">
        <v>115</v>
      </c>
      <c r="B64" s="542">
        <v>101114</v>
      </c>
      <c r="C64" s="9" t="s">
        <v>10</v>
      </c>
      <c r="D64" s="519" t="s">
        <v>270</v>
      </c>
      <c r="E64" s="9" t="s">
        <v>34</v>
      </c>
      <c r="F64" s="544">
        <f>MC!N209</f>
        <v>71.39</v>
      </c>
      <c r="G64" s="8">
        <v>2.91</v>
      </c>
      <c r="H64" s="511">
        <f t="shared" si="0"/>
        <v>0.76</v>
      </c>
      <c r="I64" s="14">
        <f t="shared" si="1"/>
        <v>3.67</v>
      </c>
      <c r="J64" s="15">
        <f t="shared" si="2"/>
        <v>262</v>
      </c>
      <c r="L64" s="510">
        <f t="shared" si="5"/>
        <v>207.74</v>
      </c>
      <c r="M64" s="510">
        <f t="shared" si="6"/>
        <v>262</v>
      </c>
    </row>
    <row r="65" spans="1:16" s="509" customFormat="1" ht="25.5" x14ac:dyDescent="0.25">
      <c r="A65" s="8" t="s">
        <v>125</v>
      </c>
      <c r="B65" s="542">
        <v>101114</v>
      </c>
      <c r="C65" s="9" t="s">
        <v>10</v>
      </c>
      <c r="D65" s="519" t="s">
        <v>270</v>
      </c>
      <c r="E65" s="9" t="s">
        <v>34</v>
      </c>
      <c r="F65" s="545">
        <f>MC!N233</f>
        <v>63.34</v>
      </c>
      <c r="G65" s="8">
        <v>2.91</v>
      </c>
      <c r="H65" s="511">
        <f t="shared" si="0"/>
        <v>0.76</v>
      </c>
      <c r="I65" s="14">
        <f t="shared" si="1"/>
        <v>3.67</v>
      </c>
      <c r="J65" s="15">
        <f t="shared" si="2"/>
        <v>232.46</v>
      </c>
      <c r="L65" s="510">
        <f t="shared" si="5"/>
        <v>184.32</v>
      </c>
      <c r="M65" s="510">
        <f t="shared" si="6"/>
        <v>232.46</v>
      </c>
    </row>
    <row r="66" spans="1:16" s="509" customFormat="1" ht="25.5" x14ac:dyDescent="0.25">
      <c r="A66" s="8" t="s">
        <v>135</v>
      </c>
      <c r="B66" s="542">
        <v>101114</v>
      </c>
      <c r="C66" s="9" t="s">
        <v>10</v>
      </c>
      <c r="D66" s="519" t="s">
        <v>270</v>
      </c>
      <c r="E66" s="9" t="s">
        <v>34</v>
      </c>
      <c r="F66" s="544">
        <f>MC!N257</f>
        <v>113.12</v>
      </c>
      <c r="G66" s="8">
        <v>2.91</v>
      </c>
      <c r="H66" s="511">
        <f t="shared" si="0"/>
        <v>0.76</v>
      </c>
      <c r="I66" s="14">
        <f t="shared" si="1"/>
        <v>3.67</v>
      </c>
      <c r="J66" s="15">
        <f t="shared" si="2"/>
        <v>415.15</v>
      </c>
      <c r="L66" s="510">
        <f t="shared" si="5"/>
        <v>329.18</v>
      </c>
      <c r="M66" s="510">
        <f t="shared" si="6"/>
        <v>415.15</v>
      </c>
    </row>
    <row r="67" spans="1:16" s="509" customFormat="1" ht="25.5" x14ac:dyDescent="0.25">
      <c r="A67" s="8" t="s">
        <v>145</v>
      </c>
      <c r="B67" s="542">
        <v>101114</v>
      </c>
      <c r="C67" s="9" t="s">
        <v>10</v>
      </c>
      <c r="D67" s="519" t="s">
        <v>270</v>
      </c>
      <c r="E67" s="9" t="s">
        <v>34</v>
      </c>
      <c r="F67" s="545">
        <f>MC!N321</f>
        <v>241.16</v>
      </c>
      <c r="G67" s="8">
        <v>2.91</v>
      </c>
      <c r="H67" s="511">
        <f t="shared" si="0"/>
        <v>0.76</v>
      </c>
      <c r="I67" s="14">
        <f t="shared" si="1"/>
        <v>3.67</v>
      </c>
      <c r="J67" s="15">
        <f t="shared" si="2"/>
        <v>885.06</v>
      </c>
      <c r="L67" s="510">
        <f t="shared" si="5"/>
        <v>701.78</v>
      </c>
      <c r="M67" s="510">
        <f t="shared" si="6"/>
        <v>885.06</v>
      </c>
    </row>
    <row r="68" spans="1:16" s="509" customFormat="1" ht="25.5" x14ac:dyDescent="0.25">
      <c r="A68" s="8" t="s">
        <v>155</v>
      </c>
      <c r="B68" s="542">
        <v>101114</v>
      </c>
      <c r="C68" s="9" t="s">
        <v>10</v>
      </c>
      <c r="D68" s="519" t="s">
        <v>270</v>
      </c>
      <c r="E68" s="9" t="s">
        <v>34</v>
      </c>
      <c r="F68" s="545">
        <f>MC!N344</f>
        <v>71.459999999999994</v>
      </c>
      <c r="G68" s="8">
        <v>2.91</v>
      </c>
      <c r="H68" s="511">
        <f t="shared" si="0"/>
        <v>0.76</v>
      </c>
      <c r="I68" s="14">
        <f t="shared" si="1"/>
        <v>3.67</v>
      </c>
      <c r="J68" s="15">
        <f t="shared" si="2"/>
        <v>262.26</v>
      </c>
      <c r="L68" s="510">
        <f t="shared" si="5"/>
        <v>207.95</v>
      </c>
      <c r="M68" s="510">
        <f t="shared" si="6"/>
        <v>262.26</v>
      </c>
    </row>
    <row r="69" spans="1:16" s="509" customFormat="1" ht="25.5" x14ac:dyDescent="0.25">
      <c r="A69" s="8" t="s">
        <v>166</v>
      </c>
      <c r="B69" s="542">
        <v>101114</v>
      </c>
      <c r="C69" s="9" t="s">
        <v>10</v>
      </c>
      <c r="D69" s="519" t="s">
        <v>270</v>
      </c>
      <c r="E69" s="9" t="s">
        <v>34</v>
      </c>
      <c r="F69" s="544">
        <f>MC!N368</f>
        <v>160.35</v>
      </c>
      <c r="G69" s="8">
        <v>2.91</v>
      </c>
      <c r="H69" s="511">
        <f t="shared" si="0"/>
        <v>0.76</v>
      </c>
      <c r="I69" s="14">
        <f t="shared" si="1"/>
        <v>3.67</v>
      </c>
      <c r="J69" s="15">
        <f t="shared" si="2"/>
        <v>588.48</v>
      </c>
      <c r="L69" s="510">
        <f t="shared" si="5"/>
        <v>466.62</v>
      </c>
      <c r="M69" s="510">
        <f t="shared" si="6"/>
        <v>588.48</v>
      </c>
    </row>
    <row r="70" spans="1:16" s="509" customFormat="1" ht="25.5" x14ac:dyDescent="0.25">
      <c r="A70" s="8" t="s">
        <v>317</v>
      </c>
      <c r="B70" s="542">
        <v>101114</v>
      </c>
      <c r="C70" s="9" t="s">
        <v>10</v>
      </c>
      <c r="D70" s="519" t="s">
        <v>270</v>
      </c>
      <c r="E70" s="9" t="s">
        <v>34</v>
      </c>
      <c r="F70" s="544">
        <f>MC!N433</f>
        <v>293.08999999999997</v>
      </c>
      <c r="G70" s="8">
        <v>2.91</v>
      </c>
      <c r="H70" s="511">
        <f t="shared" si="0"/>
        <v>0.76</v>
      </c>
      <c r="I70" s="14">
        <f t="shared" si="1"/>
        <v>3.67</v>
      </c>
      <c r="J70" s="15">
        <f t="shared" si="2"/>
        <v>1075.6400000000001</v>
      </c>
      <c r="L70" s="510">
        <f t="shared" si="5"/>
        <v>852.89</v>
      </c>
      <c r="M70" s="510">
        <f t="shared" si="6"/>
        <v>1075.6400000000001</v>
      </c>
    </row>
    <row r="71" spans="1:16" s="509" customFormat="1" ht="25.5" x14ac:dyDescent="0.25">
      <c r="A71" s="9" t="s">
        <v>331</v>
      </c>
      <c r="B71" s="542">
        <v>101114</v>
      </c>
      <c r="C71" s="440" t="s">
        <v>10</v>
      </c>
      <c r="D71" s="519" t="s">
        <v>270</v>
      </c>
      <c r="E71" s="436" t="s">
        <v>34</v>
      </c>
      <c r="F71" s="546">
        <f>MC!N465</f>
        <v>14</v>
      </c>
      <c r="G71" s="8">
        <v>2.91</v>
      </c>
      <c r="H71" s="508">
        <f t="shared" si="0"/>
        <v>0.76</v>
      </c>
      <c r="I71" s="256">
        <f t="shared" si="1"/>
        <v>3.67</v>
      </c>
      <c r="J71" s="257">
        <f t="shared" si="2"/>
        <v>51.38</v>
      </c>
      <c r="L71" s="510">
        <f t="shared" si="5"/>
        <v>40.74</v>
      </c>
      <c r="M71" s="510">
        <f t="shared" si="6"/>
        <v>51.38</v>
      </c>
    </row>
    <row r="72" spans="1:16" s="509" customFormat="1" ht="25.5" x14ac:dyDescent="0.25">
      <c r="A72" s="9" t="s">
        <v>350</v>
      </c>
      <c r="B72" s="542">
        <v>101114</v>
      </c>
      <c r="C72" s="9" t="s">
        <v>10</v>
      </c>
      <c r="D72" s="519" t="s">
        <v>270</v>
      </c>
      <c r="E72" s="9" t="s">
        <v>34</v>
      </c>
      <c r="F72" s="546">
        <f>MC!N531</f>
        <v>14</v>
      </c>
      <c r="G72" s="8">
        <v>2.91</v>
      </c>
      <c r="H72" s="508">
        <f t="shared" si="0"/>
        <v>0.76</v>
      </c>
      <c r="I72" s="256">
        <f t="shared" si="1"/>
        <v>3.67</v>
      </c>
      <c r="J72" s="257">
        <f t="shared" si="2"/>
        <v>51.38</v>
      </c>
      <c r="K72" s="515"/>
      <c r="L72" s="510">
        <f t="shared" si="5"/>
        <v>40.74</v>
      </c>
      <c r="M72" s="510">
        <f t="shared" si="6"/>
        <v>51.38</v>
      </c>
      <c r="N72" s="515"/>
    </row>
    <row r="73" spans="1:16" s="509" customFormat="1" ht="25.5" x14ac:dyDescent="0.25">
      <c r="A73" s="9" t="s">
        <v>369</v>
      </c>
      <c r="B73" s="543">
        <v>101114</v>
      </c>
      <c r="C73" s="436" t="s">
        <v>10</v>
      </c>
      <c r="D73" s="519" t="s">
        <v>270</v>
      </c>
      <c r="E73" s="9" t="s">
        <v>34</v>
      </c>
      <c r="F73" s="546">
        <f>MC!N592</f>
        <v>203.2</v>
      </c>
      <c r="G73" s="8">
        <v>2.91</v>
      </c>
      <c r="H73" s="508">
        <f t="shared" ref="H73:H136" si="7">ROUND(G73*$G$5,2)</f>
        <v>0.76</v>
      </c>
      <c r="I73" s="256">
        <f t="shared" ref="I73:I136" si="8">ROUND(G73+H73,2)</f>
        <v>3.67</v>
      </c>
      <c r="J73" s="257">
        <f t="shared" ref="J73:J136" si="9">ROUND(I73*F73,2)</f>
        <v>745.74</v>
      </c>
      <c r="K73" s="515"/>
      <c r="L73" s="510">
        <f t="shared" si="5"/>
        <v>591.30999999999995</v>
      </c>
      <c r="M73" s="510">
        <f t="shared" si="6"/>
        <v>745.74</v>
      </c>
    </row>
    <row r="74" spans="1:16" s="509" customFormat="1" ht="25.5" x14ac:dyDescent="0.25">
      <c r="A74" s="9" t="s">
        <v>379</v>
      </c>
      <c r="B74" s="542">
        <v>101114</v>
      </c>
      <c r="C74" s="9" t="s">
        <v>10</v>
      </c>
      <c r="D74" s="519" t="s">
        <v>270</v>
      </c>
      <c r="E74" s="9" t="s">
        <v>34</v>
      </c>
      <c r="F74" s="546">
        <f>MC!N656</f>
        <v>69.64</v>
      </c>
      <c r="G74" s="8">
        <v>2.91</v>
      </c>
      <c r="H74" s="508">
        <f t="shared" si="7"/>
        <v>0.76</v>
      </c>
      <c r="I74" s="256">
        <f t="shared" si="8"/>
        <v>3.67</v>
      </c>
      <c r="J74" s="257">
        <f t="shared" si="9"/>
        <v>255.58</v>
      </c>
      <c r="L74" s="510">
        <f t="shared" si="5"/>
        <v>202.65</v>
      </c>
      <c r="M74" s="510">
        <f t="shared" si="6"/>
        <v>255.58</v>
      </c>
    </row>
    <row r="75" spans="1:16" s="509" customFormat="1" ht="25.5" x14ac:dyDescent="0.25">
      <c r="A75" s="9" t="s">
        <v>389</v>
      </c>
      <c r="B75" s="542">
        <v>101114</v>
      </c>
      <c r="C75" s="9" t="s">
        <v>10</v>
      </c>
      <c r="D75" s="519" t="s">
        <v>270</v>
      </c>
      <c r="E75" s="9" t="s">
        <v>34</v>
      </c>
      <c r="F75" s="546">
        <f>MC!N679</f>
        <v>69.64</v>
      </c>
      <c r="G75" s="8">
        <v>2.91</v>
      </c>
      <c r="H75" s="508">
        <f t="shared" si="7"/>
        <v>0.76</v>
      </c>
      <c r="I75" s="256">
        <f t="shared" si="8"/>
        <v>3.67</v>
      </c>
      <c r="J75" s="257">
        <f t="shared" si="9"/>
        <v>255.58</v>
      </c>
      <c r="L75" s="510">
        <f t="shared" si="5"/>
        <v>202.65</v>
      </c>
      <c r="M75" s="510">
        <f t="shared" si="6"/>
        <v>255.58</v>
      </c>
    </row>
    <row r="76" spans="1:16" s="509" customFormat="1" ht="25.5" x14ac:dyDescent="0.25">
      <c r="A76" s="9" t="s">
        <v>644</v>
      </c>
      <c r="B76" s="542">
        <v>101114</v>
      </c>
      <c r="C76" s="9" t="s">
        <v>10</v>
      </c>
      <c r="D76" s="519" t="s">
        <v>270</v>
      </c>
      <c r="E76" s="9" t="s">
        <v>34</v>
      </c>
      <c r="F76" s="546">
        <f>MC!N746</f>
        <v>96.82</v>
      </c>
      <c r="G76" s="8">
        <v>2.91</v>
      </c>
      <c r="H76" s="508">
        <f t="shared" si="7"/>
        <v>0.76</v>
      </c>
      <c r="I76" s="256">
        <f t="shared" si="8"/>
        <v>3.67</v>
      </c>
      <c r="J76" s="257">
        <f t="shared" si="9"/>
        <v>355.33</v>
      </c>
      <c r="L76" s="510">
        <f t="shared" si="5"/>
        <v>281.75</v>
      </c>
      <c r="M76" s="510">
        <f t="shared" si="6"/>
        <v>355.33</v>
      </c>
    </row>
    <row r="77" spans="1:16" s="509" customFormat="1" ht="51" x14ac:dyDescent="0.25">
      <c r="A77" s="8" t="s">
        <v>63</v>
      </c>
      <c r="B77" s="547">
        <v>100973</v>
      </c>
      <c r="C77" s="8" t="s">
        <v>10</v>
      </c>
      <c r="D77" s="56" t="s">
        <v>45</v>
      </c>
      <c r="E77" s="8" t="s">
        <v>34</v>
      </c>
      <c r="F77" s="551">
        <f>MC!N58</f>
        <v>46.56</v>
      </c>
      <c r="G77" s="8">
        <v>5.9</v>
      </c>
      <c r="H77" s="511">
        <f t="shared" si="7"/>
        <v>1.54</v>
      </c>
      <c r="I77" s="14">
        <f t="shared" si="8"/>
        <v>7.44</v>
      </c>
      <c r="J77" s="15">
        <f t="shared" si="9"/>
        <v>346.41</v>
      </c>
      <c r="K77" s="518">
        <f>ROUND(SUM(J77:J102),2)</f>
        <v>18258.29</v>
      </c>
      <c r="L77" s="510">
        <f t="shared" si="5"/>
        <v>274.7</v>
      </c>
      <c r="M77" s="510">
        <f t="shared" si="6"/>
        <v>346.41</v>
      </c>
    </row>
    <row r="78" spans="1:16" s="509" customFormat="1" ht="51" x14ac:dyDescent="0.25">
      <c r="A78" s="8" t="s">
        <v>74</v>
      </c>
      <c r="B78" s="547">
        <v>100973</v>
      </c>
      <c r="C78" s="520" t="s">
        <v>10</v>
      </c>
      <c r="D78" s="56" t="s">
        <v>45</v>
      </c>
      <c r="E78" s="521" t="s">
        <v>34</v>
      </c>
      <c r="F78" s="552">
        <f>MC!N81</f>
        <v>59.05</v>
      </c>
      <c r="G78" s="8">
        <v>5.9</v>
      </c>
      <c r="H78" s="511">
        <f t="shared" si="7"/>
        <v>1.54</v>
      </c>
      <c r="I78" s="14">
        <f t="shared" si="8"/>
        <v>7.44</v>
      </c>
      <c r="J78" s="15">
        <f t="shared" si="9"/>
        <v>439.33</v>
      </c>
      <c r="L78" s="510">
        <f t="shared" si="5"/>
        <v>348.4</v>
      </c>
      <c r="M78" s="510">
        <f t="shared" si="6"/>
        <v>439.33</v>
      </c>
    </row>
    <row r="79" spans="1:16" s="509" customFormat="1" ht="51" x14ac:dyDescent="0.25">
      <c r="A79" s="8" t="s">
        <v>85</v>
      </c>
      <c r="B79" s="547">
        <v>100973</v>
      </c>
      <c r="C79" s="8" t="s">
        <v>10</v>
      </c>
      <c r="D79" s="56" t="s">
        <v>45</v>
      </c>
      <c r="E79" s="8" t="s">
        <v>34</v>
      </c>
      <c r="F79" s="551">
        <f>MC!N105</f>
        <v>43.68</v>
      </c>
      <c r="G79" s="8">
        <v>5.9</v>
      </c>
      <c r="H79" s="511">
        <f t="shared" si="7"/>
        <v>1.54</v>
      </c>
      <c r="I79" s="14">
        <f t="shared" si="8"/>
        <v>7.44</v>
      </c>
      <c r="J79" s="15">
        <f t="shared" si="9"/>
        <v>324.98</v>
      </c>
      <c r="K79" s="515"/>
      <c r="L79" s="510">
        <f t="shared" si="5"/>
        <v>257.70999999999998</v>
      </c>
      <c r="M79" s="510">
        <f t="shared" si="6"/>
        <v>324.98</v>
      </c>
      <c r="O79" s="515"/>
    </row>
    <row r="80" spans="1:16" s="509" customFormat="1" ht="51" x14ac:dyDescent="0.25">
      <c r="A80" s="8" t="s">
        <v>96</v>
      </c>
      <c r="B80" s="548">
        <v>100973</v>
      </c>
      <c r="C80" s="521" t="s">
        <v>10</v>
      </c>
      <c r="D80" s="56" t="s">
        <v>45</v>
      </c>
      <c r="E80" s="8" t="s">
        <v>34</v>
      </c>
      <c r="F80" s="551">
        <f>MC!N128</f>
        <v>111.09</v>
      </c>
      <c r="G80" s="8">
        <v>5.9</v>
      </c>
      <c r="H80" s="511">
        <f t="shared" si="7"/>
        <v>1.54</v>
      </c>
      <c r="I80" s="14">
        <f t="shared" si="8"/>
        <v>7.44</v>
      </c>
      <c r="J80" s="15">
        <f t="shared" si="9"/>
        <v>826.51</v>
      </c>
      <c r="K80" s="515"/>
      <c r="L80" s="510">
        <f t="shared" si="5"/>
        <v>655.43</v>
      </c>
      <c r="M80" s="510">
        <f t="shared" si="6"/>
        <v>826.51</v>
      </c>
      <c r="O80" s="522">
        <f>O82+O86+O90+O93+O95+O97+O100+O102</f>
        <v>246.97</v>
      </c>
      <c r="P80" s="509">
        <f>O80*I82</f>
        <v>1837.4567999999999</v>
      </c>
    </row>
    <row r="81" spans="1:16" s="509" customFormat="1" ht="51" x14ac:dyDescent="0.25">
      <c r="A81" s="8" t="s">
        <v>106</v>
      </c>
      <c r="B81" s="547">
        <v>100973</v>
      </c>
      <c r="C81" s="8" t="s">
        <v>10</v>
      </c>
      <c r="D81" s="56" t="s">
        <v>45</v>
      </c>
      <c r="E81" s="8" t="s">
        <v>34</v>
      </c>
      <c r="F81" s="551">
        <f>MC!N151</f>
        <v>95.19</v>
      </c>
      <c r="G81" s="8">
        <v>5.9</v>
      </c>
      <c r="H81" s="511">
        <f t="shared" si="7"/>
        <v>1.54</v>
      </c>
      <c r="I81" s="14">
        <f t="shared" si="8"/>
        <v>7.44</v>
      </c>
      <c r="J81" s="15">
        <f t="shared" si="9"/>
        <v>708.21</v>
      </c>
      <c r="L81" s="510">
        <f t="shared" si="5"/>
        <v>561.62</v>
      </c>
      <c r="M81" s="510">
        <f t="shared" si="6"/>
        <v>708.21</v>
      </c>
      <c r="O81" s="515">
        <f>F82+F86+F90+F93+F95+F97+F100+F102</f>
        <v>246.97</v>
      </c>
      <c r="P81" s="509">
        <f>O81*I82</f>
        <v>1837.4567999999999</v>
      </c>
    </row>
    <row r="82" spans="1:16" s="509" customFormat="1" ht="51" x14ac:dyDescent="0.25">
      <c r="A82" s="9" t="s">
        <v>594</v>
      </c>
      <c r="B82" s="549">
        <v>100973</v>
      </c>
      <c r="C82" s="9" t="s">
        <v>10</v>
      </c>
      <c r="D82" s="56" t="s">
        <v>45</v>
      </c>
      <c r="E82" s="9" t="s">
        <v>34</v>
      </c>
      <c r="F82" s="553">
        <f>MC!N189</f>
        <v>15.45</v>
      </c>
      <c r="G82" s="426">
        <v>5.9</v>
      </c>
      <c r="H82" s="508">
        <f t="shared" si="7"/>
        <v>1.54</v>
      </c>
      <c r="I82" s="256">
        <f t="shared" si="8"/>
        <v>7.44</v>
      </c>
      <c r="J82" s="257">
        <f>ROUND(I82*F82,2)</f>
        <v>114.95</v>
      </c>
      <c r="K82" s="518">
        <f>J82+J86+J90+J93+J95+J97+J100+J102</f>
        <v>1837.46</v>
      </c>
      <c r="L82" s="510">
        <f t="shared" si="5"/>
        <v>91.16</v>
      </c>
      <c r="M82" s="510">
        <f t="shared" si="6"/>
        <v>114.95</v>
      </c>
      <c r="O82" s="515">
        <f>F82</f>
        <v>15.45</v>
      </c>
      <c r="P82" s="523">
        <f>O82*I82</f>
        <v>114.95</v>
      </c>
    </row>
    <row r="83" spans="1:16" s="509" customFormat="1" ht="51" x14ac:dyDescent="0.25">
      <c r="A83" s="8" t="s">
        <v>116</v>
      </c>
      <c r="B83" s="547">
        <v>100973</v>
      </c>
      <c r="C83" s="8" t="s">
        <v>10</v>
      </c>
      <c r="D83" s="56" t="s">
        <v>45</v>
      </c>
      <c r="E83" s="8" t="s">
        <v>34</v>
      </c>
      <c r="F83" s="551">
        <f>MC!N212</f>
        <v>89.24</v>
      </c>
      <c r="G83" s="8">
        <v>5.9</v>
      </c>
      <c r="H83" s="511">
        <f t="shared" si="7"/>
        <v>1.54</v>
      </c>
      <c r="I83" s="14">
        <f t="shared" si="8"/>
        <v>7.44</v>
      </c>
      <c r="J83" s="15">
        <f t="shared" si="9"/>
        <v>663.95</v>
      </c>
      <c r="L83" s="510">
        <f t="shared" si="5"/>
        <v>526.52</v>
      </c>
      <c r="M83" s="510">
        <f t="shared" si="6"/>
        <v>663.95</v>
      </c>
      <c r="P83" s="523">
        <f t="shared" ref="P83:P118" si="10">O83*I83</f>
        <v>0</v>
      </c>
    </row>
    <row r="84" spans="1:16" s="509" customFormat="1" ht="51" x14ac:dyDescent="0.25">
      <c r="A84" s="8" t="s">
        <v>126</v>
      </c>
      <c r="B84" s="547">
        <v>100973</v>
      </c>
      <c r="C84" s="8" t="s">
        <v>10</v>
      </c>
      <c r="D84" s="56" t="s">
        <v>45</v>
      </c>
      <c r="E84" s="8" t="s">
        <v>34</v>
      </c>
      <c r="F84" s="552">
        <f>MC!N236</f>
        <v>79.180000000000007</v>
      </c>
      <c r="G84" s="8">
        <v>5.9</v>
      </c>
      <c r="H84" s="511">
        <f t="shared" si="7"/>
        <v>1.54</v>
      </c>
      <c r="I84" s="14">
        <f t="shared" si="8"/>
        <v>7.44</v>
      </c>
      <c r="J84" s="15">
        <f t="shared" si="9"/>
        <v>589.1</v>
      </c>
      <c r="L84" s="510">
        <f t="shared" si="5"/>
        <v>467.16</v>
      </c>
      <c r="M84" s="510">
        <f t="shared" si="6"/>
        <v>589.1</v>
      </c>
      <c r="N84" s="515"/>
      <c r="P84" s="523">
        <f t="shared" si="10"/>
        <v>0</v>
      </c>
    </row>
    <row r="85" spans="1:16" s="509" customFormat="1" ht="51" x14ac:dyDescent="0.25">
      <c r="A85" s="8" t="s">
        <v>136</v>
      </c>
      <c r="B85" s="547">
        <v>100973</v>
      </c>
      <c r="C85" s="520" t="s">
        <v>10</v>
      </c>
      <c r="D85" s="56" t="s">
        <v>45</v>
      </c>
      <c r="E85" s="521" t="s">
        <v>34</v>
      </c>
      <c r="F85" s="551">
        <f>MC!N260</f>
        <v>141.4</v>
      </c>
      <c r="G85" s="8">
        <v>5.9</v>
      </c>
      <c r="H85" s="511">
        <f t="shared" si="7"/>
        <v>1.54</v>
      </c>
      <c r="I85" s="14">
        <f t="shared" si="8"/>
        <v>7.44</v>
      </c>
      <c r="J85" s="15">
        <f t="shared" si="9"/>
        <v>1052.02</v>
      </c>
      <c r="L85" s="510">
        <f t="shared" si="5"/>
        <v>834.26</v>
      </c>
      <c r="M85" s="510">
        <f t="shared" si="6"/>
        <v>1052.02</v>
      </c>
      <c r="P85" s="523">
        <f t="shared" si="10"/>
        <v>0</v>
      </c>
    </row>
    <row r="86" spans="1:16" s="509" customFormat="1" ht="51" x14ac:dyDescent="0.25">
      <c r="A86" s="9" t="s">
        <v>608</v>
      </c>
      <c r="B86" s="549">
        <v>100973</v>
      </c>
      <c r="C86" s="9" t="s">
        <v>10</v>
      </c>
      <c r="D86" s="56" t="s">
        <v>45</v>
      </c>
      <c r="E86" s="9" t="s">
        <v>34</v>
      </c>
      <c r="F86" s="553">
        <f>MC!N298</f>
        <v>7.04</v>
      </c>
      <c r="G86" s="9">
        <v>5.9</v>
      </c>
      <c r="H86" s="508">
        <f t="shared" si="7"/>
        <v>1.54</v>
      </c>
      <c r="I86" s="256">
        <f t="shared" si="8"/>
        <v>7.44</v>
      </c>
      <c r="J86" s="257">
        <f t="shared" si="9"/>
        <v>52.38</v>
      </c>
      <c r="K86" s="515"/>
      <c r="L86" s="510">
        <f t="shared" si="5"/>
        <v>41.54</v>
      </c>
      <c r="M86" s="510">
        <f t="shared" si="6"/>
        <v>52.38</v>
      </c>
      <c r="O86" s="515">
        <f>F86</f>
        <v>7.04</v>
      </c>
      <c r="P86" s="523">
        <f t="shared" si="10"/>
        <v>52.38</v>
      </c>
    </row>
    <row r="87" spans="1:16" s="509" customFormat="1" ht="51" x14ac:dyDescent="0.25">
      <c r="A87" s="8" t="s">
        <v>146</v>
      </c>
      <c r="B87" s="548">
        <v>100973</v>
      </c>
      <c r="C87" s="521" t="s">
        <v>10</v>
      </c>
      <c r="D87" s="56" t="s">
        <v>45</v>
      </c>
      <c r="E87" s="8" t="s">
        <v>34</v>
      </c>
      <c r="F87" s="552">
        <f>MC!N324</f>
        <v>301.45</v>
      </c>
      <c r="G87" s="8">
        <v>5.9</v>
      </c>
      <c r="H87" s="511">
        <f t="shared" si="7"/>
        <v>1.54</v>
      </c>
      <c r="I87" s="14">
        <f t="shared" si="8"/>
        <v>7.44</v>
      </c>
      <c r="J87" s="15">
        <f t="shared" si="9"/>
        <v>2242.79</v>
      </c>
      <c r="K87" s="515"/>
      <c r="L87" s="510">
        <f t="shared" si="5"/>
        <v>1778.56</v>
      </c>
      <c r="M87" s="510">
        <f t="shared" si="6"/>
        <v>2242.79</v>
      </c>
      <c r="P87" s="523">
        <f t="shared" si="10"/>
        <v>0</v>
      </c>
    </row>
    <row r="88" spans="1:16" s="509" customFormat="1" ht="51" x14ac:dyDescent="0.25">
      <c r="A88" s="8" t="s">
        <v>156</v>
      </c>
      <c r="B88" s="547">
        <v>100973</v>
      </c>
      <c r="C88" s="8" t="s">
        <v>10</v>
      </c>
      <c r="D88" s="56" t="s">
        <v>45</v>
      </c>
      <c r="E88" s="8" t="s">
        <v>34</v>
      </c>
      <c r="F88" s="552">
        <f>MC!N347</f>
        <v>89.33</v>
      </c>
      <c r="G88" s="8">
        <v>5.9</v>
      </c>
      <c r="H88" s="511">
        <f t="shared" si="7"/>
        <v>1.54</v>
      </c>
      <c r="I88" s="14">
        <f t="shared" si="8"/>
        <v>7.44</v>
      </c>
      <c r="J88" s="15">
        <f t="shared" si="9"/>
        <v>664.62</v>
      </c>
      <c r="L88" s="510">
        <f t="shared" si="5"/>
        <v>527.04999999999995</v>
      </c>
      <c r="M88" s="510">
        <f t="shared" si="6"/>
        <v>664.62</v>
      </c>
      <c r="P88" s="523">
        <f t="shared" si="10"/>
        <v>0</v>
      </c>
    </row>
    <row r="89" spans="1:16" s="509" customFormat="1" ht="51" x14ac:dyDescent="0.25">
      <c r="A89" s="8" t="s">
        <v>167</v>
      </c>
      <c r="B89" s="547">
        <v>100973</v>
      </c>
      <c r="C89" s="8" t="s">
        <v>10</v>
      </c>
      <c r="D89" s="56" t="s">
        <v>45</v>
      </c>
      <c r="E89" s="8" t="s">
        <v>34</v>
      </c>
      <c r="F89" s="551">
        <f>MC!N371</f>
        <v>200.44</v>
      </c>
      <c r="G89" s="8">
        <v>5.9</v>
      </c>
      <c r="H89" s="511">
        <f t="shared" si="7"/>
        <v>1.54</v>
      </c>
      <c r="I89" s="14">
        <f t="shared" si="8"/>
        <v>7.44</v>
      </c>
      <c r="J89" s="15">
        <f t="shared" si="9"/>
        <v>1491.27</v>
      </c>
      <c r="L89" s="510">
        <f t="shared" ref="L89:L135" si="11">ROUND(F89*G89,2)</f>
        <v>1182.5999999999999</v>
      </c>
      <c r="M89" s="510">
        <f t="shared" ref="M89:M135" si="12">ROUND(F89*I89,2)</f>
        <v>1491.27</v>
      </c>
      <c r="P89" s="523">
        <f t="shared" si="10"/>
        <v>0</v>
      </c>
    </row>
    <row r="90" spans="1:16" s="509" customFormat="1" ht="51" x14ac:dyDescent="0.25">
      <c r="A90" s="8" t="s">
        <v>619</v>
      </c>
      <c r="B90" s="549">
        <v>100973</v>
      </c>
      <c r="C90" s="9" t="s">
        <v>10</v>
      </c>
      <c r="D90" s="56" t="s">
        <v>45</v>
      </c>
      <c r="E90" s="9" t="s">
        <v>34</v>
      </c>
      <c r="F90" s="552">
        <f>MC!N409</f>
        <v>5.8</v>
      </c>
      <c r="G90" s="8">
        <v>5.9</v>
      </c>
      <c r="H90" s="511">
        <f t="shared" si="7"/>
        <v>1.54</v>
      </c>
      <c r="I90" s="14">
        <f t="shared" si="8"/>
        <v>7.44</v>
      </c>
      <c r="J90" s="15">
        <f t="shared" si="9"/>
        <v>43.15</v>
      </c>
      <c r="L90" s="510">
        <f t="shared" si="11"/>
        <v>34.22</v>
      </c>
      <c r="M90" s="510">
        <f t="shared" si="12"/>
        <v>43.15</v>
      </c>
      <c r="O90" s="515">
        <f>F90</f>
        <v>5.8</v>
      </c>
      <c r="P90" s="523">
        <f t="shared" si="10"/>
        <v>43.15</v>
      </c>
    </row>
    <row r="91" spans="1:16" s="509" customFormat="1" ht="51" x14ac:dyDescent="0.25">
      <c r="A91" s="8" t="s">
        <v>318</v>
      </c>
      <c r="B91" s="547">
        <v>100973</v>
      </c>
      <c r="C91" s="8" t="s">
        <v>10</v>
      </c>
      <c r="D91" s="56" t="s">
        <v>45</v>
      </c>
      <c r="E91" s="8" t="s">
        <v>34</v>
      </c>
      <c r="F91" s="551">
        <f>MC!N436</f>
        <v>366.36</v>
      </c>
      <c r="G91" s="8">
        <v>5.9</v>
      </c>
      <c r="H91" s="511">
        <f t="shared" si="7"/>
        <v>1.54</v>
      </c>
      <c r="I91" s="14">
        <f t="shared" si="8"/>
        <v>7.44</v>
      </c>
      <c r="J91" s="15">
        <f t="shared" si="9"/>
        <v>2725.72</v>
      </c>
      <c r="L91" s="510">
        <f t="shared" si="11"/>
        <v>2161.52</v>
      </c>
      <c r="M91" s="510">
        <f t="shared" si="12"/>
        <v>2725.72</v>
      </c>
      <c r="P91" s="523">
        <f t="shared" si="10"/>
        <v>0</v>
      </c>
    </row>
    <row r="92" spans="1:16" s="509" customFormat="1" ht="51" x14ac:dyDescent="0.25">
      <c r="A92" s="9" t="s">
        <v>332</v>
      </c>
      <c r="B92" s="550">
        <v>100973</v>
      </c>
      <c r="C92" s="9" t="s">
        <v>10</v>
      </c>
      <c r="D92" s="56" t="s">
        <v>45</v>
      </c>
      <c r="E92" s="9" t="s">
        <v>34</v>
      </c>
      <c r="F92" s="554">
        <f>MC!N468</f>
        <v>17.5</v>
      </c>
      <c r="G92" s="8">
        <v>5.9</v>
      </c>
      <c r="H92" s="508">
        <f t="shared" si="7"/>
        <v>1.54</v>
      </c>
      <c r="I92" s="256">
        <f t="shared" si="8"/>
        <v>7.44</v>
      </c>
      <c r="J92" s="257">
        <f t="shared" si="9"/>
        <v>130.19999999999999</v>
      </c>
      <c r="L92" s="510">
        <f t="shared" si="11"/>
        <v>103.25</v>
      </c>
      <c r="M92" s="510">
        <f t="shared" si="12"/>
        <v>130.19999999999999</v>
      </c>
      <c r="P92" s="523">
        <f t="shared" si="10"/>
        <v>0</v>
      </c>
    </row>
    <row r="93" spans="1:16" s="509" customFormat="1" ht="51" x14ac:dyDescent="0.25">
      <c r="A93" s="9" t="s">
        <v>346</v>
      </c>
      <c r="B93" s="549">
        <v>100973</v>
      </c>
      <c r="C93" s="9" t="s">
        <v>10</v>
      </c>
      <c r="D93" s="56" t="s">
        <v>45</v>
      </c>
      <c r="E93" s="9" t="s">
        <v>34</v>
      </c>
      <c r="F93" s="553">
        <f>MC!N507</f>
        <v>89.63</v>
      </c>
      <c r="G93" s="9">
        <v>5.9</v>
      </c>
      <c r="H93" s="508">
        <f t="shared" si="7"/>
        <v>1.54</v>
      </c>
      <c r="I93" s="256">
        <f t="shared" si="8"/>
        <v>7.44</v>
      </c>
      <c r="J93" s="257">
        <f t="shared" si="9"/>
        <v>666.85</v>
      </c>
      <c r="L93" s="510">
        <f t="shared" si="11"/>
        <v>528.82000000000005</v>
      </c>
      <c r="M93" s="510">
        <f t="shared" si="12"/>
        <v>666.85</v>
      </c>
      <c r="O93" s="515">
        <f>F93</f>
        <v>89.63</v>
      </c>
      <c r="P93" s="523">
        <f t="shared" si="10"/>
        <v>666.85</v>
      </c>
    </row>
    <row r="94" spans="1:16" s="509" customFormat="1" ht="51" x14ac:dyDescent="0.25">
      <c r="A94" s="9" t="s">
        <v>351</v>
      </c>
      <c r="B94" s="550">
        <v>100973</v>
      </c>
      <c r="C94" s="9" t="s">
        <v>10</v>
      </c>
      <c r="D94" s="56" t="s">
        <v>45</v>
      </c>
      <c r="E94" s="9" t="s">
        <v>34</v>
      </c>
      <c r="F94" s="554">
        <f>MC!N534</f>
        <v>17.5</v>
      </c>
      <c r="G94" s="8">
        <v>5.9</v>
      </c>
      <c r="H94" s="508">
        <f t="shared" si="7"/>
        <v>1.54</v>
      </c>
      <c r="I94" s="256">
        <f t="shared" si="8"/>
        <v>7.44</v>
      </c>
      <c r="J94" s="257">
        <f t="shared" si="9"/>
        <v>130.19999999999999</v>
      </c>
      <c r="L94" s="510">
        <f t="shared" si="11"/>
        <v>103.25</v>
      </c>
      <c r="M94" s="510">
        <f t="shared" si="12"/>
        <v>130.19999999999999</v>
      </c>
      <c r="P94" s="523">
        <f t="shared" si="10"/>
        <v>0</v>
      </c>
    </row>
    <row r="95" spans="1:16" s="509" customFormat="1" ht="51" x14ac:dyDescent="0.25">
      <c r="A95" s="9" t="s">
        <v>365</v>
      </c>
      <c r="B95" s="549">
        <v>100973</v>
      </c>
      <c r="C95" s="9" t="s">
        <v>10</v>
      </c>
      <c r="D95" s="56" t="s">
        <v>45</v>
      </c>
      <c r="E95" s="9" t="s">
        <v>34</v>
      </c>
      <c r="F95" s="553">
        <f>MC!N572</f>
        <v>37.01</v>
      </c>
      <c r="G95" s="9">
        <v>5.9</v>
      </c>
      <c r="H95" s="508">
        <f t="shared" si="7"/>
        <v>1.54</v>
      </c>
      <c r="I95" s="256">
        <f t="shared" si="8"/>
        <v>7.44</v>
      </c>
      <c r="J95" s="257">
        <f t="shared" si="9"/>
        <v>275.35000000000002</v>
      </c>
      <c r="L95" s="510">
        <f t="shared" si="11"/>
        <v>218.36</v>
      </c>
      <c r="M95" s="510">
        <f t="shared" si="12"/>
        <v>275.35000000000002</v>
      </c>
      <c r="O95" s="515">
        <f>F95</f>
        <v>37.01</v>
      </c>
      <c r="P95" s="523">
        <f t="shared" si="10"/>
        <v>275.35000000000002</v>
      </c>
    </row>
    <row r="96" spans="1:16" s="509" customFormat="1" ht="51" x14ac:dyDescent="0.25">
      <c r="A96" s="9" t="s">
        <v>370</v>
      </c>
      <c r="B96" s="550">
        <v>100973</v>
      </c>
      <c r="C96" s="9" t="s">
        <v>10</v>
      </c>
      <c r="D96" s="56" t="s">
        <v>45</v>
      </c>
      <c r="E96" s="9" t="s">
        <v>34</v>
      </c>
      <c r="F96" s="554">
        <f>MC!N595</f>
        <v>254</v>
      </c>
      <c r="G96" s="8">
        <v>5.9</v>
      </c>
      <c r="H96" s="508">
        <f t="shared" si="7"/>
        <v>1.54</v>
      </c>
      <c r="I96" s="256">
        <f t="shared" si="8"/>
        <v>7.44</v>
      </c>
      <c r="J96" s="257">
        <f t="shared" si="9"/>
        <v>1889.76</v>
      </c>
      <c r="L96" s="510">
        <f t="shared" si="11"/>
        <v>1498.6</v>
      </c>
      <c r="M96" s="510">
        <f t="shared" si="12"/>
        <v>1889.76</v>
      </c>
      <c r="P96" s="523">
        <f t="shared" si="10"/>
        <v>0</v>
      </c>
    </row>
    <row r="97" spans="1:16" s="509" customFormat="1" ht="51" x14ac:dyDescent="0.25">
      <c r="A97" s="9" t="s">
        <v>634</v>
      </c>
      <c r="B97" s="549">
        <v>100973</v>
      </c>
      <c r="C97" s="9" t="s">
        <v>10</v>
      </c>
      <c r="D97" s="56" t="s">
        <v>45</v>
      </c>
      <c r="E97" s="9" t="s">
        <v>34</v>
      </c>
      <c r="F97" s="553">
        <f>MC!N633</f>
        <v>14.59</v>
      </c>
      <c r="G97" s="9">
        <v>5.9</v>
      </c>
      <c r="H97" s="508">
        <f t="shared" si="7"/>
        <v>1.54</v>
      </c>
      <c r="I97" s="256">
        <f t="shared" si="8"/>
        <v>7.44</v>
      </c>
      <c r="J97" s="257">
        <f t="shared" si="9"/>
        <v>108.55</v>
      </c>
      <c r="L97" s="510">
        <f t="shared" si="11"/>
        <v>86.08</v>
      </c>
      <c r="M97" s="510">
        <f t="shared" si="12"/>
        <v>108.55</v>
      </c>
      <c r="O97" s="515">
        <f>F97</f>
        <v>14.59</v>
      </c>
      <c r="P97" s="523">
        <f t="shared" si="10"/>
        <v>108.55</v>
      </c>
    </row>
    <row r="98" spans="1:16" s="509" customFormat="1" ht="51" x14ac:dyDescent="0.25">
      <c r="A98" s="9" t="s">
        <v>380</v>
      </c>
      <c r="B98" s="550">
        <v>100973</v>
      </c>
      <c r="C98" s="9" t="s">
        <v>10</v>
      </c>
      <c r="D98" s="56" t="s">
        <v>45</v>
      </c>
      <c r="E98" s="9" t="s">
        <v>34</v>
      </c>
      <c r="F98" s="554">
        <f>MC!N659</f>
        <v>87.05</v>
      </c>
      <c r="G98" s="8">
        <v>5.9</v>
      </c>
      <c r="H98" s="508">
        <f t="shared" si="7"/>
        <v>1.54</v>
      </c>
      <c r="I98" s="256">
        <f t="shared" si="8"/>
        <v>7.44</v>
      </c>
      <c r="J98" s="257">
        <f t="shared" si="9"/>
        <v>647.65</v>
      </c>
      <c r="L98" s="510">
        <f t="shared" si="11"/>
        <v>513.6</v>
      </c>
      <c r="M98" s="510">
        <f t="shared" si="12"/>
        <v>647.65</v>
      </c>
      <c r="P98" s="523">
        <f t="shared" si="10"/>
        <v>0</v>
      </c>
    </row>
    <row r="99" spans="1:16" s="509" customFormat="1" ht="51" x14ac:dyDescent="0.25">
      <c r="A99" s="9" t="s">
        <v>390</v>
      </c>
      <c r="B99" s="550">
        <v>100973</v>
      </c>
      <c r="C99" s="9" t="s">
        <v>10</v>
      </c>
      <c r="D99" s="56" t="s">
        <v>45</v>
      </c>
      <c r="E99" s="9" t="s">
        <v>34</v>
      </c>
      <c r="F99" s="554">
        <f>MC!N682</f>
        <v>87.05</v>
      </c>
      <c r="G99" s="8">
        <v>5.9</v>
      </c>
      <c r="H99" s="508">
        <f t="shared" si="7"/>
        <v>1.54</v>
      </c>
      <c r="I99" s="256">
        <f t="shared" si="8"/>
        <v>7.44</v>
      </c>
      <c r="J99" s="257">
        <f t="shared" si="9"/>
        <v>647.65</v>
      </c>
      <c r="L99" s="510">
        <f t="shared" si="11"/>
        <v>513.6</v>
      </c>
      <c r="M99" s="510">
        <f t="shared" si="12"/>
        <v>647.65</v>
      </c>
      <c r="P99" s="523">
        <f t="shared" si="10"/>
        <v>0</v>
      </c>
    </row>
    <row r="100" spans="1:16" s="509" customFormat="1" ht="51" x14ac:dyDescent="0.25">
      <c r="A100" s="9" t="s">
        <v>405</v>
      </c>
      <c r="B100" s="549">
        <v>100973</v>
      </c>
      <c r="C100" s="9" t="s">
        <v>10</v>
      </c>
      <c r="D100" s="56" t="s">
        <v>45</v>
      </c>
      <c r="E100" s="9" t="s">
        <v>34</v>
      </c>
      <c r="F100" s="553">
        <f>MC!N723</f>
        <v>68.989999999999995</v>
      </c>
      <c r="G100" s="9">
        <v>5.9</v>
      </c>
      <c r="H100" s="508">
        <f t="shared" si="7"/>
        <v>1.54</v>
      </c>
      <c r="I100" s="256">
        <f t="shared" si="8"/>
        <v>7.44</v>
      </c>
      <c r="J100" s="257">
        <f t="shared" si="9"/>
        <v>513.29</v>
      </c>
      <c r="L100" s="510">
        <f t="shared" si="11"/>
        <v>407.04</v>
      </c>
      <c r="M100" s="510">
        <f t="shared" si="12"/>
        <v>513.29</v>
      </c>
      <c r="O100" s="515">
        <f>F100</f>
        <v>68.989999999999995</v>
      </c>
      <c r="P100" s="523">
        <f t="shared" si="10"/>
        <v>513.29</v>
      </c>
    </row>
    <row r="101" spans="1:16" s="509" customFormat="1" ht="51" x14ac:dyDescent="0.25">
      <c r="A101" s="9" t="s">
        <v>645</v>
      </c>
      <c r="B101" s="550">
        <v>100973</v>
      </c>
      <c r="C101" s="9" t="s">
        <v>10</v>
      </c>
      <c r="D101" s="56" t="s">
        <v>45</v>
      </c>
      <c r="E101" s="9" t="s">
        <v>34</v>
      </c>
      <c r="F101" s="554">
        <f>MC!N749</f>
        <v>121.03</v>
      </c>
      <c r="G101" s="8">
        <v>5.9</v>
      </c>
      <c r="H101" s="508">
        <f t="shared" si="7"/>
        <v>1.54</v>
      </c>
      <c r="I101" s="256">
        <f t="shared" si="8"/>
        <v>7.44</v>
      </c>
      <c r="J101" s="257">
        <f t="shared" si="9"/>
        <v>900.46</v>
      </c>
      <c r="L101" s="510">
        <f t="shared" si="11"/>
        <v>714.08</v>
      </c>
      <c r="M101" s="510">
        <f t="shared" si="12"/>
        <v>900.46</v>
      </c>
      <c r="P101" s="523">
        <f t="shared" si="10"/>
        <v>0</v>
      </c>
    </row>
    <row r="102" spans="1:16" s="509" customFormat="1" ht="51" x14ac:dyDescent="0.25">
      <c r="A102" s="9" t="s">
        <v>659</v>
      </c>
      <c r="B102" s="549">
        <v>100973</v>
      </c>
      <c r="C102" s="9" t="s">
        <v>10</v>
      </c>
      <c r="D102" s="56" t="s">
        <v>45</v>
      </c>
      <c r="E102" s="9" t="s">
        <v>34</v>
      </c>
      <c r="F102" s="553">
        <f>MC!N787</f>
        <v>8.4600000000000009</v>
      </c>
      <c r="G102" s="9">
        <v>5.9</v>
      </c>
      <c r="H102" s="508">
        <f t="shared" si="7"/>
        <v>1.54</v>
      </c>
      <c r="I102" s="256">
        <f t="shared" si="8"/>
        <v>7.44</v>
      </c>
      <c r="J102" s="257">
        <f>ROUND(I102*F102,2)</f>
        <v>62.94</v>
      </c>
      <c r="L102" s="510">
        <f t="shared" si="11"/>
        <v>49.91</v>
      </c>
      <c r="M102" s="510">
        <f t="shared" si="12"/>
        <v>62.94</v>
      </c>
      <c r="O102" s="515">
        <f>F102</f>
        <v>8.4600000000000009</v>
      </c>
      <c r="P102" s="523">
        <f t="shared" si="10"/>
        <v>62.94</v>
      </c>
    </row>
    <row r="103" spans="1:16" s="509" customFormat="1" ht="25.5" x14ac:dyDescent="0.25">
      <c r="A103" s="8" t="s">
        <v>67</v>
      </c>
      <c r="B103" s="9">
        <v>100577</v>
      </c>
      <c r="C103" s="9" t="s">
        <v>37</v>
      </c>
      <c r="D103" s="524" t="s">
        <v>38</v>
      </c>
      <c r="E103" s="8" t="s">
        <v>30</v>
      </c>
      <c r="F103" s="533">
        <f>MC!N67</f>
        <v>340.22</v>
      </c>
      <c r="G103" s="8">
        <v>0.75</v>
      </c>
      <c r="H103" s="511">
        <f t="shared" si="7"/>
        <v>0.2</v>
      </c>
      <c r="I103" s="14">
        <f t="shared" si="8"/>
        <v>0.95</v>
      </c>
      <c r="J103" s="15">
        <f t="shared" si="9"/>
        <v>323.20999999999998</v>
      </c>
      <c r="L103" s="510">
        <f t="shared" si="11"/>
        <v>255.17</v>
      </c>
      <c r="M103" s="510">
        <f t="shared" si="12"/>
        <v>323.20999999999998</v>
      </c>
      <c r="P103" s="509">
        <f t="shared" si="10"/>
        <v>0</v>
      </c>
    </row>
    <row r="104" spans="1:16" s="509" customFormat="1" ht="25.5" x14ac:dyDescent="0.25">
      <c r="A104" s="8" t="s">
        <v>78</v>
      </c>
      <c r="B104" s="9">
        <v>100577</v>
      </c>
      <c r="C104" s="9" t="s">
        <v>37</v>
      </c>
      <c r="D104" s="524" t="s">
        <v>38</v>
      </c>
      <c r="E104" s="8" t="s">
        <v>30</v>
      </c>
      <c r="F104" s="535">
        <f>MC!N91</f>
        <v>522.41</v>
      </c>
      <c r="G104" s="8">
        <v>0.75</v>
      </c>
      <c r="H104" s="511">
        <f t="shared" si="7"/>
        <v>0.2</v>
      </c>
      <c r="I104" s="14">
        <f t="shared" si="8"/>
        <v>0.95</v>
      </c>
      <c r="J104" s="15">
        <f t="shared" si="9"/>
        <v>496.29</v>
      </c>
      <c r="L104" s="510">
        <f t="shared" si="11"/>
        <v>391.81</v>
      </c>
      <c r="M104" s="510">
        <f t="shared" si="12"/>
        <v>496.29</v>
      </c>
      <c r="P104" s="509">
        <f t="shared" si="10"/>
        <v>0</v>
      </c>
    </row>
    <row r="105" spans="1:16" s="509" customFormat="1" ht="25.5" x14ac:dyDescent="0.25">
      <c r="A105" s="8" t="s">
        <v>89</v>
      </c>
      <c r="B105" s="9">
        <v>100577</v>
      </c>
      <c r="C105" s="440" t="s">
        <v>37</v>
      </c>
      <c r="D105" s="524" t="s">
        <v>38</v>
      </c>
      <c r="E105" s="521" t="s">
        <v>30</v>
      </c>
      <c r="F105" s="530">
        <f>MC!N114</f>
        <v>358.1</v>
      </c>
      <c r="G105" s="8">
        <v>0.75</v>
      </c>
      <c r="H105" s="511">
        <f t="shared" si="7"/>
        <v>0.2</v>
      </c>
      <c r="I105" s="14">
        <f t="shared" si="8"/>
        <v>0.95</v>
      </c>
      <c r="J105" s="15">
        <f t="shared" si="9"/>
        <v>340.2</v>
      </c>
      <c r="L105" s="510">
        <f t="shared" si="11"/>
        <v>268.58</v>
      </c>
      <c r="M105" s="510">
        <f t="shared" si="12"/>
        <v>340.2</v>
      </c>
      <c r="P105" s="509">
        <f t="shared" si="10"/>
        <v>0</v>
      </c>
    </row>
    <row r="106" spans="1:16" s="509" customFormat="1" ht="25.5" x14ac:dyDescent="0.25">
      <c r="A106" s="8" t="s">
        <v>100</v>
      </c>
      <c r="B106" s="9">
        <v>100577</v>
      </c>
      <c r="C106" s="9" t="s">
        <v>37</v>
      </c>
      <c r="D106" s="524" t="s">
        <v>38</v>
      </c>
      <c r="E106" s="8" t="s">
        <v>30</v>
      </c>
      <c r="F106" s="530">
        <f>MC!N137</f>
        <v>873.31</v>
      </c>
      <c r="G106" s="8">
        <v>0.75</v>
      </c>
      <c r="H106" s="511">
        <f t="shared" si="7"/>
        <v>0.2</v>
      </c>
      <c r="I106" s="14">
        <f t="shared" si="8"/>
        <v>0.95</v>
      </c>
      <c r="J106" s="15">
        <f t="shared" si="9"/>
        <v>829.64</v>
      </c>
      <c r="K106" s="515"/>
      <c r="L106" s="510">
        <f t="shared" si="11"/>
        <v>654.98</v>
      </c>
      <c r="M106" s="510">
        <f t="shared" si="12"/>
        <v>829.64</v>
      </c>
      <c r="P106" s="509">
        <f t="shared" si="10"/>
        <v>0</v>
      </c>
    </row>
    <row r="107" spans="1:16" s="509" customFormat="1" ht="25.5" x14ac:dyDescent="0.25">
      <c r="A107" s="8" t="s">
        <v>110</v>
      </c>
      <c r="B107" s="435">
        <v>100577</v>
      </c>
      <c r="C107" s="436" t="s">
        <v>37</v>
      </c>
      <c r="D107" s="524" t="s">
        <v>38</v>
      </c>
      <c r="E107" s="8" t="s">
        <v>30</v>
      </c>
      <c r="F107" s="533">
        <f>MC!N161</f>
        <v>1365.36</v>
      </c>
      <c r="G107" s="8">
        <v>0.75</v>
      </c>
      <c r="H107" s="511">
        <f t="shared" si="7"/>
        <v>0.2</v>
      </c>
      <c r="I107" s="14">
        <f t="shared" si="8"/>
        <v>0.95</v>
      </c>
      <c r="J107" s="15">
        <f t="shared" si="9"/>
        <v>1297.0899999999999</v>
      </c>
      <c r="K107" s="515"/>
      <c r="L107" s="510">
        <f t="shared" si="11"/>
        <v>1024.02</v>
      </c>
      <c r="M107" s="510">
        <f t="shared" si="12"/>
        <v>1297.0899999999999</v>
      </c>
      <c r="P107" s="509">
        <f t="shared" si="10"/>
        <v>0</v>
      </c>
    </row>
    <row r="108" spans="1:16" s="509" customFormat="1" ht="25.5" x14ac:dyDescent="0.25">
      <c r="A108" s="8" t="s">
        <v>120</v>
      </c>
      <c r="B108" s="9">
        <v>100577</v>
      </c>
      <c r="C108" s="9" t="s">
        <v>37</v>
      </c>
      <c r="D108" s="524" t="s">
        <v>38</v>
      </c>
      <c r="E108" s="8" t="s">
        <v>30</v>
      </c>
      <c r="F108" s="530">
        <f>MC!N222</f>
        <v>696.97</v>
      </c>
      <c r="G108" s="8">
        <v>0.75</v>
      </c>
      <c r="H108" s="511">
        <f t="shared" si="7"/>
        <v>0.2</v>
      </c>
      <c r="I108" s="14">
        <f t="shared" si="8"/>
        <v>0.95</v>
      </c>
      <c r="J108" s="15">
        <f t="shared" si="9"/>
        <v>662.12</v>
      </c>
      <c r="L108" s="510">
        <f t="shared" si="11"/>
        <v>522.73</v>
      </c>
      <c r="M108" s="510">
        <f t="shared" si="12"/>
        <v>662.12</v>
      </c>
      <c r="N108" s="515"/>
      <c r="P108" s="509">
        <f t="shared" si="10"/>
        <v>0</v>
      </c>
    </row>
    <row r="109" spans="1:16" s="509" customFormat="1" ht="25.5" x14ac:dyDescent="0.25">
      <c r="A109" s="8" t="s">
        <v>130</v>
      </c>
      <c r="B109" s="9">
        <v>100577</v>
      </c>
      <c r="C109" s="9" t="s">
        <v>37</v>
      </c>
      <c r="D109" s="524" t="s">
        <v>38</v>
      </c>
      <c r="E109" s="8" t="s">
        <v>30</v>
      </c>
      <c r="F109" s="530">
        <f>MC!N246</f>
        <v>629</v>
      </c>
      <c r="G109" s="8">
        <v>0.75</v>
      </c>
      <c r="H109" s="511">
        <f t="shared" si="7"/>
        <v>0.2</v>
      </c>
      <c r="I109" s="14">
        <f t="shared" si="8"/>
        <v>0.95</v>
      </c>
      <c r="J109" s="15">
        <f t="shared" si="9"/>
        <v>597.54999999999995</v>
      </c>
      <c r="L109" s="510">
        <f t="shared" si="11"/>
        <v>471.75</v>
      </c>
      <c r="M109" s="510">
        <f t="shared" si="12"/>
        <v>597.54999999999995</v>
      </c>
      <c r="P109" s="509">
        <f t="shared" si="10"/>
        <v>0</v>
      </c>
    </row>
    <row r="110" spans="1:16" s="509" customFormat="1" ht="25.5" x14ac:dyDescent="0.25">
      <c r="A110" s="8" t="s">
        <v>140</v>
      </c>
      <c r="B110" s="9">
        <v>100577</v>
      </c>
      <c r="C110" s="9" t="s">
        <v>37</v>
      </c>
      <c r="D110" s="524" t="s">
        <v>38</v>
      </c>
      <c r="E110" s="8" t="s">
        <v>30</v>
      </c>
      <c r="F110" s="530">
        <f>MC!N269</f>
        <v>1099.98</v>
      </c>
      <c r="G110" s="8">
        <v>0.75</v>
      </c>
      <c r="H110" s="511">
        <f t="shared" si="7"/>
        <v>0.2</v>
      </c>
      <c r="I110" s="14">
        <f t="shared" si="8"/>
        <v>0.95</v>
      </c>
      <c r="J110" s="15">
        <f t="shared" si="9"/>
        <v>1044.98</v>
      </c>
      <c r="L110" s="510">
        <f t="shared" si="11"/>
        <v>824.99</v>
      </c>
      <c r="M110" s="510">
        <f t="shared" si="12"/>
        <v>1044.98</v>
      </c>
      <c r="P110" s="509">
        <f t="shared" si="10"/>
        <v>0</v>
      </c>
    </row>
    <row r="111" spans="1:16" s="509" customFormat="1" ht="25.5" x14ac:dyDescent="0.25">
      <c r="A111" s="8" t="s">
        <v>150</v>
      </c>
      <c r="B111" s="9">
        <v>100577</v>
      </c>
      <c r="C111" s="9" t="s">
        <v>37</v>
      </c>
      <c r="D111" s="524" t="s">
        <v>38</v>
      </c>
      <c r="E111" s="8" t="s">
        <v>30</v>
      </c>
      <c r="F111" s="533">
        <f>MC!N333</f>
        <v>1746.94</v>
      </c>
      <c r="G111" s="8">
        <v>0.75</v>
      </c>
      <c r="H111" s="511">
        <f t="shared" si="7"/>
        <v>0.2</v>
      </c>
      <c r="I111" s="14">
        <f t="shared" si="8"/>
        <v>0.95</v>
      </c>
      <c r="J111" s="15">
        <f t="shared" si="9"/>
        <v>1659.59</v>
      </c>
      <c r="L111" s="510">
        <f t="shared" si="11"/>
        <v>1310.21</v>
      </c>
      <c r="M111" s="510">
        <f t="shared" si="12"/>
        <v>1659.59</v>
      </c>
      <c r="P111" s="509">
        <f t="shared" si="10"/>
        <v>0</v>
      </c>
    </row>
    <row r="112" spans="1:16" s="509" customFormat="1" ht="25.5" x14ac:dyDescent="0.25">
      <c r="A112" s="8" t="s">
        <v>161</v>
      </c>
      <c r="B112" s="9">
        <v>100577</v>
      </c>
      <c r="C112" s="440" t="s">
        <v>37</v>
      </c>
      <c r="D112" s="524" t="s">
        <v>38</v>
      </c>
      <c r="E112" s="521" t="s">
        <v>30</v>
      </c>
      <c r="F112" s="533">
        <f>MC!N357</f>
        <v>693.32</v>
      </c>
      <c r="G112" s="8">
        <v>0.75</v>
      </c>
      <c r="H112" s="511">
        <f t="shared" si="7"/>
        <v>0.2</v>
      </c>
      <c r="I112" s="14">
        <f t="shared" si="8"/>
        <v>0.95</v>
      </c>
      <c r="J112" s="15">
        <f t="shared" si="9"/>
        <v>658.65</v>
      </c>
      <c r="L112" s="510">
        <f t="shared" si="11"/>
        <v>519.99</v>
      </c>
      <c r="M112" s="510">
        <f t="shared" si="12"/>
        <v>658.65</v>
      </c>
      <c r="P112" s="509">
        <f t="shared" si="10"/>
        <v>0</v>
      </c>
    </row>
    <row r="113" spans="1:16" s="509" customFormat="1" ht="25.5" x14ac:dyDescent="0.25">
      <c r="A113" s="8" t="s">
        <v>171</v>
      </c>
      <c r="B113" s="9">
        <v>100577</v>
      </c>
      <c r="C113" s="9" t="s">
        <v>37</v>
      </c>
      <c r="D113" s="524" t="s">
        <v>38</v>
      </c>
      <c r="E113" s="8" t="s">
        <v>30</v>
      </c>
      <c r="F113" s="530">
        <f>MC!N381</f>
        <v>667.5</v>
      </c>
      <c r="G113" s="8">
        <v>0.75</v>
      </c>
      <c r="H113" s="511">
        <f t="shared" si="7"/>
        <v>0.2</v>
      </c>
      <c r="I113" s="14">
        <f t="shared" si="8"/>
        <v>0.95</v>
      </c>
      <c r="J113" s="15">
        <f t="shared" si="9"/>
        <v>634.13</v>
      </c>
      <c r="K113" s="515"/>
      <c r="L113" s="510">
        <f t="shared" si="11"/>
        <v>500.63</v>
      </c>
      <c r="M113" s="510">
        <f t="shared" si="12"/>
        <v>634.13</v>
      </c>
      <c r="P113" s="509">
        <f t="shared" si="10"/>
        <v>0</v>
      </c>
    </row>
    <row r="114" spans="1:16" s="509" customFormat="1" ht="25.5" x14ac:dyDescent="0.25">
      <c r="A114" s="8" t="s">
        <v>322</v>
      </c>
      <c r="B114" s="435">
        <v>100577</v>
      </c>
      <c r="C114" s="436" t="s">
        <v>37</v>
      </c>
      <c r="D114" s="524" t="s">
        <v>38</v>
      </c>
      <c r="E114" s="8" t="s">
        <v>30</v>
      </c>
      <c r="F114" s="530">
        <f>MC!N446</f>
        <v>3583.35</v>
      </c>
      <c r="G114" s="8">
        <v>0.75</v>
      </c>
      <c r="H114" s="511">
        <f t="shared" si="7"/>
        <v>0.2</v>
      </c>
      <c r="I114" s="14">
        <f t="shared" si="8"/>
        <v>0.95</v>
      </c>
      <c r="J114" s="15">
        <f t="shared" si="9"/>
        <v>3404.18</v>
      </c>
      <c r="K114" s="515"/>
      <c r="L114" s="510">
        <f t="shared" si="11"/>
        <v>2687.51</v>
      </c>
      <c r="M114" s="510">
        <f t="shared" si="12"/>
        <v>3404.18</v>
      </c>
      <c r="P114" s="509">
        <f t="shared" si="10"/>
        <v>0</v>
      </c>
    </row>
    <row r="115" spans="1:16" s="509" customFormat="1" ht="25.5" x14ac:dyDescent="0.25">
      <c r="A115" s="9" t="s">
        <v>336</v>
      </c>
      <c r="B115" s="9">
        <v>100577</v>
      </c>
      <c r="C115" s="9" t="s">
        <v>37</v>
      </c>
      <c r="D115" s="524" t="s">
        <v>38</v>
      </c>
      <c r="E115" s="9" t="s">
        <v>30</v>
      </c>
      <c r="F115" s="531">
        <f>MC!N478</f>
        <v>7292.03</v>
      </c>
      <c r="G115" s="8">
        <v>0.75</v>
      </c>
      <c r="H115" s="508">
        <f t="shared" si="7"/>
        <v>0.2</v>
      </c>
      <c r="I115" s="256">
        <f t="shared" si="8"/>
        <v>0.95</v>
      </c>
      <c r="J115" s="257">
        <f t="shared" si="9"/>
        <v>6927.43</v>
      </c>
      <c r="L115" s="510">
        <f t="shared" si="11"/>
        <v>5469.02</v>
      </c>
      <c r="M115" s="510">
        <f t="shared" si="12"/>
        <v>6927.43</v>
      </c>
      <c r="P115" s="509">
        <f t="shared" si="10"/>
        <v>0</v>
      </c>
    </row>
    <row r="116" spans="1:16" s="509" customFormat="1" ht="25.5" x14ac:dyDescent="0.25">
      <c r="A116" s="9" t="s">
        <v>355</v>
      </c>
      <c r="B116" s="9">
        <v>100577</v>
      </c>
      <c r="C116" s="9" t="s">
        <v>37</v>
      </c>
      <c r="D116" s="524" t="s">
        <v>38</v>
      </c>
      <c r="E116" s="9" t="s">
        <v>30</v>
      </c>
      <c r="F116" s="531">
        <f>MC!N544</f>
        <v>1716.16</v>
      </c>
      <c r="G116" s="8">
        <v>0.75</v>
      </c>
      <c r="H116" s="508">
        <f t="shared" si="7"/>
        <v>0.2</v>
      </c>
      <c r="I116" s="256">
        <f t="shared" si="8"/>
        <v>0.95</v>
      </c>
      <c r="J116" s="257">
        <f t="shared" si="9"/>
        <v>1630.35</v>
      </c>
      <c r="L116" s="510">
        <f t="shared" si="11"/>
        <v>1287.1199999999999</v>
      </c>
      <c r="M116" s="510">
        <f t="shared" si="12"/>
        <v>1630.35</v>
      </c>
      <c r="P116" s="509">
        <f t="shared" si="10"/>
        <v>0</v>
      </c>
    </row>
    <row r="117" spans="1:16" s="509" customFormat="1" ht="25.5" x14ac:dyDescent="0.25">
      <c r="A117" s="9" t="s">
        <v>374</v>
      </c>
      <c r="B117" s="9">
        <v>100577</v>
      </c>
      <c r="C117" s="9" t="s">
        <v>37</v>
      </c>
      <c r="D117" s="524" t="s">
        <v>38</v>
      </c>
      <c r="E117" s="9" t="s">
        <v>30</v>
      </c>
      <c r="F117" s="531">
        <f>MC!N605</f>
        <v>2719.89</v>
      </c>
      <c r="G117" s="8">
        <v>0.75</v>
      </c>
      <c r="H117" s="508">
        <f t="shared" si="7"/>
        <v>0.2</v>
      </c>
      <c r="I117" s="256">
        <f t="shared" si="8"/>
        <v>0.95</v>
      </c>
      <c r="J117" s="257">
        <f t="shared" si="9"/>
        <v>2583.9</v>
      </c>
      <c r="L117" s="510">
        <f t="shared" si="11"/>
        <v>2039.92</v>
      </c>
      <c r="M117" s="510">
        <f t="shared" si="12"/>
        <v>2583.9</v>
      </c>
      <c r="P117" s="509">
        <f t="shared" si="10"/>
        <v>0</v>
      </c>
    </row>
    <row r="118" spans="1:16" s="509" customFormat="1" ht="25.5" x14ac:dyDescent="0.25">
      <c r="A118" s="9" t="s">
        <v>384</v>
      </c>
      <c r="B118" s="9">
        <v>100577</v>
      </c>
      <c r="C118" s="9" t="s">
        <v>37</v>
      </c>
      <c r="D118" s="524" t="s">
        <v>38</v>
      </c>
      <c r="E118" s="9" t="s">
        <v>30</v>
      </c>
      <c r="F118" s="531">
        <f>MC!N668</f>
        <v>930.55</v>
      </c>
      <c r="G118" s="8">
        <v>0.75</v>
      </c>
      <c r="H118" s="508">
        <f t="shared" si="7"/>
        <v>0.2</v>
      </c>
      <c r="I118" s="256">
        <f t="shared" si="8"/>
        <v>0.95</v>
      </c>
      <c r="J118" s="257">
        <f t="shared" si="9"/>
        <v>884.02</v>
      </c>
      <c r="L118" s="510">
        <f t="shared" si="11"/>
        <v>697.91</v>
      </c>
      <c r="M118" s="510">
        <f t="shared" si="12"/>
        <v>884.02</v>
      </c>
      <c r="P118" s="509">
        <f t="shared" si="10"/>
        <v>0</v>
      </c>
    </row>
    <row r="119" spans="1:16" s="509" customFormat="1" ht="25.5" x14ac:dyDescent="0.25">
      <c r="A119" s="9" t="s">
        <v>394</v>
      </c>
      <c r="B119" s="9">
        <v>100577</v>
      </c>
      <c r="C119" s="440" t="s">
        <v>37</v>
      </c>
      <c r="D119" s="524" t="s">
        <v>38</v>
      </c>
      <c r="E119" s="436" t="s">
        <v>30</v>
      </c>
      <c r="F119" s="531">
        <f>MC!N691</f>
        <v>1093.8</v>
      </c>
      <c r="G119" s="8">
        <v>0.75</v>
      </c>
      <c r="H119" s="508">
        <f t="shared" si="7"/>
        <v>0.2</v>
      </c>
      <c r="I119" s="256">
        <f t="shared" si="8"/>
        <v>0.95</v>
      </c>
      <c r="J119" s="257">
        <f t="shared" si="9"/>
        <v>1039.1099999999999</v>
      </c>
      <c r="L119" s="510">
        <f t="shared" si="11"/>
        <v>820.35</v>
      </c>
      <c r="M119" s="510">
        <f t="shared" si="12"/>
        <v>1039.1099999999999</v>
      </c>
    </row>
    <row r="120" spans="1:16" s="509" customFormat="1" ht="25.5" x14ac:dyDescent="0.25">
      <c r="A120" s="9" t="s">
        <v>649</v>
      </c>
      <c r="B120" s="9">
        <v>100577</v>
      </c>
      <c r="C120" s="9" t="s">
        <v>37</v>
      </c>
      <c r="D120" s="524" t="s">
        <v>38</v>
      </c>
      <c r="E120" s="9" t="s">
        <v>30</v>
      </c>
      <c r="F120" s="531">
        <f>MC!N759</f>
        <v>945.89</v>
      </c>
      <c r="G120" s="8">
        <v>0.75</v>
      </c>
      <c r="H120" s="508">
        <f t="shared" si="7"/>
        <v>0.2</v>
      </c>
      <c r="I120" s="256">
        <f t="shared" si="8"/>
        <v>0.95</v>
      </c>
      <c r="J120" s="257">
        <f t="shared" si="9"/>
        <v>898.6</v>
      </c>
      <c r="K120" s="515"/>
      <c r="L120" s="510">
        <f t="shared" si="11"/>
        <v>709.42</v>
      </c>
      <c r="M120" s="510">
        <f t="shared" si="12"/>
        <v>898.6</v>
      </c>
      <c r="N120" s="515"/>
    </row>
    <row r="121" spans="1:16" s="509" customFormat="1" ht="51" x14ac:dyDescent="0.25">
      <c r="A121" s="9" t="s">
        <v>474</v>
      </c>
      <c r="B121" s="525">
        <v>99290</v>
      </c>
      <c r="C121" s="436" t="s">
        <v>10</v>
      </c>
      <c r="D121" s="346" t="s">
        <v>56</v>
      </c>
      <c r="E121" s="8" t="s">
        <v>57</v>
      </c>
      <c r="F121" s="529">
        <f>MC!N732</f>
        <v>1</v>
      </c>
      <c r="G121" s="9">
        <v>3048.7</v>
      </c>
      <c r="H121" s="508">
        <f t="shared" si="7"/>
        <v>796.93</v>
      </c>
      <c r="I121" s="256">
        <f t="shared" si="8"/>
        <v>3845.63</v>
      </c>
      <c r="J121" s="257">
        <f t="shared" si="9"/>
        <v>3845.63</v>
      </c>
      <c r="K121" s="515"/>
      <c r="L121" s="510">
        <f t="shared" si="11"/>
        <v>3048.7</v>
      </c>
      <c r="M121" s="510">
        <f t="shared" si="12"/>
        <v>3845.63</v>
      </c>
    </row>
    <row r="122" spans="1:16" s="509" customFormat="1" ht="39" x14ac:dyDescent="0.25">
      <c r="A122" s="9" t="s">
        <v>597</v>
      </c>
      <c r="B122" s="106">
        <v>99241</v>
      </c>
      <c r="C122" s="9" t="s">
        <v>10</v>
      </c>
      <c r="D122" s="342" t="s">
        <v>58</v>
      </c>
      <c r="E122" s="9" t="s">
        <v>42</v>
      </c>
      <c r="F122" s="529">
        <f>MC!N198</f>
        <v>1.8</v>
      </c>
      <c r="G122" s="9">
        <v>1152.02</v>
      </c>
      <c r="H122" s="508">
        <f t="shared" si="7"/>
        <v>301.14</v>
      </c>
      <c r="I122" s="256">
        <f t="shared" si="8"/>
        <v>1453.16</v>
      </c>
      <c r="J122" s="257">
        <f t="shared" si="9"/>
        <v>2615.69</v>
      </c>
      <c r="K122" s="518">
        <f>ROUND(SUM(J122:J130),2)</f>
        <v>44466.7</v>
      </c>
      <c r="L122" s="510">
        <f t="shared" si="11"/>
        <v>2073.64</v>
      </c>
      <c r="M122" s="510">
        <f t="shared" si="12"/>
        <v>2615.69</v>
      </c>
    </row>
    <row r="123" spans="1:16" s="509" customFormat="1" ht="39" x14ac:dyDescent="0.25">
      <c r="A123" s="9" t="s">
        <v>611</v>
      </c>
      <c r="B123" s="106">
        <v>99241</v>
      </c>
      <c r="C123" s="9" t="s">
        <v>10</v>
      </c>
      <c r="D123" s="342" t="s">
        <v>58</v>
      </c>
      <c r="E123" s="9" t="s">
        <v>42</v>
      </c>
      <c r="F123" s="529">
        <f>MC!N307</f>
        <v>1.8</v>
      </c>
      <c r="G123" s="9">
        <v>1152.02</v>
      </c>
      <c r="H123" s="508">
        <f t="shared" si="7"/>
        <v>301.14</v>
      </c>
      <c r="I123" s="256">
        <f t="shared" si="8"/>
        <v>1453.16</v>
      </c>
      <c r="J123" s="257">
        <f t="shared" si="9"/>
        <v>2615.69</v>
      </c>
      <c r="L123" s="510">
        <f t="shared" si="11"/>
        <v>2073.64</v>
      </c>
      <c r="M123" s="510">
        <f t="shared" si="12"/>
        <v>2615.69</v>
      </c>
    </row>
    <row r="124" spans="1:16" s="509" customFormat="1" ht="39" x14ac:dyDescent="0.25">
      <c r="A124" s="8" t="s">
        <v>622</v>
      </c>
      <c r="B124" s="343">
        <v>99241</v>
      </c>
      <c r="C124" s="9" t="s">
        <v>10</v>
      </c>
      <c r="D124" s="345" t="s">
        <v>58</v>
      </c>
      <c r="E124" s="8" t="s">
        <v>42</v>
      </c>
      <c r="F124" s="533">
        <f>MC!N418</f>
        <v>1.2</v>
      </c>
      <c r="G124" s="8">
        <v>1152.02</v>
      </c>
      <c r="H124" s="511">
        <f t="shared" si="7"/>
        <v>301.14</v>
      </c>
      <c r="I124" s="14">
        <f t="shared" si="8"/>
        <v>1453.16</v>
      </c>
      <c r="J124" s="15">
        <f t="shared" si="9"/>
        <v>1743.79</v>
      </c>
      <c r="L124" s="510">
        <f t="shared" si="11"/>
        <v>1382.42</v>
      </c>
      <c r="M124" s="510">
        <f t="shared" si="12"/>
        <v>1743.79</v>
      </c>
    </row>
    <row r="125" spans="1:16" s="509" customFormat="1" ht="39" x14ac:dyDescent="0.25">
      <c r="A125" s="8" t="s">
        <v>326</v>
      </c>
      <c r="B125" s="343">
        <v>99241</v>
      </c>
      <c r="C125" s="9" t="s">
        <v>10</v>
      </c>
      <c r="D125" s="345" t="s">
        <v>58</v>
      </c>
      <c r="E125" s="8" t="s">
        <v>42</v>
      </c>
      <c r="F125" s="533">
        <f>MC!N456</f>
        <v>5.4</v>
      </c>
      <c r="G125" s="8">
        <v>1152.02</v>
      </c>
      <c r="H125" s="511">
        <f t="shared" si="7"/>
        <v>301.14</v>
      </c>
      <c r="I125" s="14">
        <f t="shared" si="8"/>
        <v>1453.16</v>
      </c>
      <c r="J125" s="15">
        <f t="shared" si="9"/>
        <v>7847.06</v>
      </c>
      <c r="L125" s="510">
        <f t="shared" si="11"/>
        <v>6220.91</v>
      </c>
      <c r="M125" s="510">
        <f t="shared" si="12"/>
        <v>7847.06</v>
      </c>
    </row>
    <row r="126" spans="1:16" s="509" customFormat="1" ht="39" x14ac:dyDescent="0.25">
      <c r="A126" s="9" t="s">
        <v>564</v>
      </c>
      <c r="B126" s="106">
        <v>99241</v>
      </c>
      <c r="C126" s="9" t="s">
        <v>10</v>
      </c>
      <c r="D126" s="342" t="s">
        <v>58</v>
      </c>
      <c r="E126" s="9" t="s">
        <v>42</v>
      </c>
      <c r="F126" s="529">
        <f>MC!N516</f>
        <v>13.2</v>
      </c>
      <c r="G126" s="9">
        <v>1152.02</v>
      </c>
      <c r="H126" s="508">
        <f t="shared" si="7"/>
        <v>301.14</v>
      </c>
      <c r="I126" s="256">
        <f t="shared" si="8"/>
        <v>1453.16</v>
      </c>
      <c r="J126" s="257">
        <f t="shared" si="9"/>
        <v>19181.71</v>
      </c>
      <c r="L126" s="510">
        <f t="shared" si="11"/>
        <v>15206.66</v>
      </c>
      <c r="M126" s="510">
        <f t="shared" si="12"/>
        <v>19181.71</v>
      </c>
    </row>
    <row r="127" spans="1:16" s="509" customFormat="1" ht="39" x14ac:dyDescent="0.25">
      <c r="A127" s="9" t="s">
        <v>568</v>
      </c>
      <c r="B127" s="106">
        <v>99241</v>
      </c>
      <c r="C127" s="9" t="s">
        <v>10</v>
      </c>
      <c r="D127" s="342" t="s">
        <v>58</v>
      </c>
      <c r="E127" s="9" t="s">
        <v>42</v>
      </c>
      <c r="F127" s="529">
        <f>MC!N581</f>
        <v>3.6</v>
      </c>
      <c r="G127" s="9">
        <v>1152.02</v>
      </c>
      <c r="H127" s="508">
        <f t="shared" si="7"/>
        <v>301.14</v>
      </c>
      <c r="I127" s="256">
        <f t="shared" si="8"/>
        <v>1453.16</v>
      </c>
      <c r="J127" s="257">
        <f t="shared" si="9"/>
        <v>5231.38</v>
      </c>
      <c r="L127" s="510">
        <f t="shared" si="11"/>
        <v>4147.2700000000004</v>
      </c>
      <c r="M127" s="510">
        <f t="shared" si="12"/>
        <v>5231.38</v>
      </c>
    </row>
    <row r="128" spans="1:16" s="509" customFormat="1" ht="39" x14ac:dyDescent="0.25">
      <c r="A128" s="9" t="s">
        <v>637</v>
      </c>
      <c r="B128" s="106">
        <v>99241</v>
      </c>
      <c r="C128" s="9" t="s">
        <v>10</v>
      </c>
      <c r="D128" s="342" t="s">
        <v>58</v>
      </c>
      <c r="E128" s="9" t="s">
        <v>42</v>
      </c>
      <c r="F128" s="529">
        <f>MC!N642</f>
        <v>1.8</v>
      </c>
      <c r="G128" s="9">
        <v>1152.02</v>
      </c>
      <c r="H128" s="508">
        <f t="shared" si="7"/>
        <v>301.14</v>
      </c>
      <c r="I128" s="256">
        <f t="shared" si="8"/>
        <v>1453.16</v>
      </c>
      <c r="J128" s="257">
        <f t="shared" si="9"/>
        <v>2615.69</v>
      </c>
      <c r="L128" s="510">
        <f t="shared" si="11"/>
        <v>2073.64</v>
      </c>
      <c r="M128" s="510">
        <f t="shared" si="12"/>
        <v>2615.69</v>
      </c>
    </row>
    <row r="129" spans="1:14" s="509" customFormat="1" ht="39" x14ac:dyDescent="0.25">
      <c r="A129" s="9" t="s">
        <v>571</v>
      </c>
      <c r="B129" s="343">
        <v>99241</v>
      </c>
      <c r="C129" s="9" t="s">
        <v>10</v>
      </c>
      <c r="D129" s="345" t="s">
        <v>58</v>
      </c>
      <c r="E129" s="8" t="s">
        <v>42</v>
      </c>
      <c r="F129" s="529">
        <f>MC!N735</f>
        <v>0.6</v>
      </c>
      <c r="G129" s="9">
        <v>1152.02</v>
      </c>
      <c r="H129" s="508">
        <f t="shared" si="7"/>
        <v>301.14</v>
      </c>
      <c r="I129" s="256">
        <f t="shared" si="8"/>
        <v>1453.16</v>
      </c>
      <c r="J129" s="257">
        <f t="shared" si="9"/>
        <v>871.9</v>
      </c>
      <c r="L129" s="510">
        <f t="shared" si="11"/>
        <v>691.21</v>
      </c>
      <c r="M129" s="510">
        <f t="shared" si="12"/>
        <v>871.9</v>
      </c>
    </row>
    <row r="130" spans="1:14" s="509" customFormat="1" ht="39" x14ac:dyDescent="0.25">
      <c r="A130" s="9" t="s">
        <v>662</v>
      </c>
      <c r="B130" s="106">
        <v>99241</v>
      </c>
      <c r="C130" s="9" t="s">
        <v>10</v>
      </c>
      <c r="D130" s="342" t="s">
        <v>58</v>
      </c>
      <c r="E130" s="9" t="s">
        <v>42</v>
      </c>
      <c r="F130" s="529">
        <f>MC!N796</f>
        <v>1.2</v>
      </c>
      <c r="G130" s="9">
        <v>1152.02</v>
      </c>
      <c r="H130" s="508">
        <f t="shared" si="7"/>
        <v>301.14</v>
      </c>
      <c r="I130" s="256">
        <f t="shared" si="8"/>
        <v>1453.16</v>
      </c>
      <c r="J130" s="257">
        <f t="shared" si="9"/>
        <v>1743.79</v>
      </c>
      <c r="L130" s="510">
        <f t="shared" si="11"/>
        <v>1382.42</v>
      </c>
      <c r="M130" s="510">
        <f t="shared" si="12"/>
        <v>1743.79</v>
      </c>
    </row>
    <row r="131" spans="1:14" s="509" customFormat="1" x14ac:dyDescent="0.25">
      <c r="A131" s="8" t="s">
        <v>66</v>
      </c>
      <c r="B131" s="9">
        <v>99064</v>
      </c>
      <c r="C131" s="42" t="s">
        <v>10</v>
      </c>
      <c r="D131" s="56" t="s">
        <v>41</v>
      </c>
      <c r="E131" s="9" t="s">
        <v>42</v>
      </c>
      <c r="F131" s="533">
        <f>MC!N65</f>
        <v>53.22</v>
      </c>
      <c r="G131" s="8">
        <v>0.43</v>
      </c>
      <c r="H131" s="511">
        <f t="shared" si="7"/>
        <v>0.11</v>
      </c>
      <c r="I131" s="14">
        <f t="shared" si="8"/>
        <v>0.54</v>
      </c>
      <c r="J131" s="15">
        <f t="shared" si="9"/>
        <v>28.74</v>
      </c>
      <c r="L131" s="510">
        <f t="shared" si="11"/>
        <v>22.88</v>
      </c>
      <c r="M131" s="510">
        <f t="shared" si="12"/>
        <v>28.74</v>
      </c>
    </row>
    <row r="132" spans="1:14" s="509" customFormat="1" x14ac:dyDescent="0.25">
      <c r="A132" s="8" t="s">
        <v>77</v>
      </c>
      <c r="B132" s="9">
        <v>99064</v>
      </c>
      <c r="C132" s="42" t="s">
        <v>10</v>
      </c>
      <c r="D132" s="56" t="s">
        <v>41</v>
      </c>
      <c r="E132" s="9" t="s">
        <v>42</v>
      </c>
      <c r="F132" s="533">
        <f>MC!N88</f>
        <v>67.48</v>
      </c>
      <c r="G132" s="8">
        <v>0.43</v>
      </c>
      <c r="H132" s="511">
        <f t="shared" si="7"/>
        <v>0.11</v>
      </c>
      <c r="I132" s="14">
        <f t="shared" si="8"/>
        <v>0.54</v>
      </c>
      <c r="J132" s="15">
        <f t="shared" si="9"/>
        <v>36.44</v>
      </c>
      <c r="L132" s="510">
        <f t="shared" si="11"/>
        <v>29.02</v>
      </c>
      <c r="M132" s="510">
        <f t="shared" si="12"/>
        <v>36.44</v>
      </c>
      <c r="N132" s="515"/>
    </row>
    <row r="133" spans="1:14" s="509" customFormat="1" x14ac:dyDescent="0.25">
      <c r="A133" s="8" t="s">
        <v>88</v>
      </c>
      <c r="B133" s="9">
        <v>99064</v>
      </c>
      <c r="C133" s="42" t="s">
        <v>10</v>
      </c>
      <c r="D133" s="56" t="s">
        <v>41</v>
      </c>
      <c r="E133" s="9" t="s">
        <v>42</v>
      </c>
      <c r="F133" s="530">
        <f>MC!N112</f>
        <v>87.34</v>
      </c>
      <c r="G133" s="8">
        <v>0.43</v>
      </c>
      <c r="H133" s="511">
        <f t="shared" si="7"/>
        <v>0.11</v>
      </c>
      <c r="I133" s="14">
        <f t="shared" si="8"/>
        <v>0.54</v>
      </c>
      <c r="J133" s="15">
        <f t="shared" si="9"/>
        <v>47.16</v>
      </c>
      <c r="L133" s="510">
        <f t="shared" si="11"/>
        <v>37.56</v>
      </c>
      <c r="M133" s="510">
        <f t="shared" si="12"/>
        <v>47.16</v>
      </c>
    </row>
    <row r="134" spans="1:14" s="509" customFormat="1" x14ac:dyDescent="0.25">
      <c r="A134" s="8" t="s">
        <v>99</v>
      </c>
      <c r="B134" s="9">
        <v>99064</v>
      </c>
      <c r="C134" s="42" t="s">
        <v>10</v>
      </c>
      <c r="D134" s="56" t="s">
        <v>41</v>
      </c>
      <c r="E134" s="9" t="s">
        <v>42</v>
      </c>
      <c r="F134" s="530">
        <f>MC!N135</f>
        <v>126.95</v>
      </c>
      <c r="G134" s="8">
        <v>0.43</v>
      </c>
      <c r="H134" s="511">
        <f t="shared" si="7"/>
        <v>0.11</v>
      </c>
      <c r="I134" s="14">
        <f t="shared" si="8"/>
        <v>0.54</v>
      </c>
      <c r="J134" s="15">
        <f t="shared" si="9"/>
        <v>68.55</v>
      </c>
      <c r="L134" s="510">
        <f t="shared" si="11"/>
        <v>54.59</v>
      </c>
      <c r="M134" s="510">
        <f t="shared" si="12"/>
        <v>68.55</v>
      </c>
    </row>
    <row r="135" spans="1:14" s="509" customFormat="1" x14ac:dyDescent="0.25">
      <c r="A135" s="8" t="s">
        <v>109</v>
      </c>
      <c r="B135" s="9">
        <v>99064</v>
      </c>
      <c r="C135" s="42" t="s">
        <v>10</v>
      </c>
      <c r="D135" s="56" t="s">
        <v>41</v>
      </c>
      <c r="E135" s="9" t="s">
        <v>42</v>
      </c>
      <c r="F135" s="533">
        <f>MC!N158</f>
        <v>126.92</v>
      </c>
      <c r="G135" s="8">
        <v>0.43</v>
      </c>
      <c r="H135" s="511">
        <f t="shared" si="7"/>
        <v>0.11</v>
      </c>
      <c r="I135" s="14">
        <f t="shared" si="8"/>
        <v>0.54</v>
      </c>
      <c r="J135" s="15">
        <f t="shared" si="9"/>
        <v>68.540000000000006</v>
      </c>
      <c r="L135" s="510">
        <f t="shared" si="11"/>
        <v>54.58</v>
      </c>
      <c r="M135" s="510">
        <f t="shared" si="12"/>
        <v>68.540000000000006</v>
      </c>
    </row>
    <row r="136" spans="1:14" s="509" customFormat="1" x14ac:dyDescent="0.25">
      <c r="A136" s="8" t="s">
        <v>119</v>
      </c>
      <c r="B136" s="9">
        <v>99064</v>
      </c>
      <c r="C136" s="42" t="s">
        <v>10</v>
      </c>
      <c r="D136" s="56" t="s">
        <v>41</v>
      </c>
      <c r="E136" s="9" t="s">
        <v>42</v>
      </c>
      <c r="F136" s="530">
        <f>MC!N219</f>
        <v>118.99</v>
      </c>
      <c r="G136" s="8">
        <v>0.43</v>
      </c>
      <c r="H136" s="511">
        <f t="shared" si="7"/>
        <v>0.11</v>
      </c>
      <c r="I136" s="14">
        <f t="shared" si="8"/>
        <v>0.54</v>
      </c>
      <c r="J136" s="15">
        <f t="shared" si="9"/>
        <v>64.25</v>
      </c>
      <c r="L136" s="510">
        <f t="shared" ref="L136:L175" si="13">ROUND(F136*G136,2)</f>
        <v>51.17</v>
      </c>
      <c r="M136" s="510">
        <f t="shared" ref="M136:M175" si="14">ROUND(F136*I136,2)</f>
        <v>64.25</v>
      </c>
    </row>
    <row r="137" spans="1:14" s="509" customFormat="1" x14ac:dyDescent="0.25">
      <c r="A137" s="8" t="s">
        <v>129</v>
      </c>
      <c r="B137" s="9">
        <v>99064</v>
      </c>
      <c r="C137" s="42" t="s">
        <v>10</v>
      </c>
      <c r="D137" s="56" t="s">
        <v>41</v>
      </c>
      <c r="E137" s="9" t="s">
        <v>42</v>
      </c>
      <c r="F137" s="530">
        <f>MC!N243</f>
        <v>126.68</v>
      </c>
      <c r="G137" s="8">
        <v>0.43</v>
      </c>
      <c r="H137" s="511">
        <f t="shared" ref="H137:H200" si="15">ROUND(G137*$G$5,2)</f>
        <v>0.11</v>
      </c>
      <c r="I137" s="14">
        <f t="shared" ref="I137:I200" si="16">ROUND(G137+H137,2)</f>
        <v>0.54</v>
      </c>
      <c r="J137" s="15">
        <f t="shared" ref="J137:J200" si="17">ROUND(I137*F137,2)</f>
        <v>68.41</v>
      </c>
      <c r="L137" s="510">
        <f t="shared" si="13"/>
        <v>54.47</v>
      </c>
      <c r="M137" s="510">
        <f t="shared" si="14"/>
        <v>68.41</v>
      </c>
    </row>
    <row r="138" spans="1:14" s="509" customFormat="1" x14ac:dyDescent="0.25">
      <c r="A138" s="8" t="s">
        <v>139</v>
      </c>
      <c r="B138" s="9">
        <v>99064</v>
      </c>
      <c r="C138" s="42" t="s">
        <v>10</v>
      </c>
      <c r="D138" s="56" t="s">
        <v>41</v>
      </c>
      <c r="E138" s="9" t="s">
        <v>42</v>
      </c>
      <c r="F138" s="530">
        <f>MC!N267</f>
        <v>188.53</v>
      </c>
      <c r="G138" s="8">
        <v>0.43</v>
      </c>
      <c r="H138" s="511">
        <f t="shared" si="15"/>
        <v>0.11</v>
      </c>
      <c r="I138" s="14">
        <f t="shared" si="16"/>
        <v>0.54</v>
      </c>
      <c r="J138" s="15">
        <f t="shared" si="17"/>
        <v>101.81</v>
      </c>
      <c r="L138" s="510">
        <f t="shared" si="13"/>
        <v>81.069999999999993</v>
      </c>
      <c r="M138" s="510">
        <f t="shared" si="14"/>
        <v>101.81</v>
      </c>
    </row>
    <row r="139" spans="1:14" s="509" customFormat="1" x14ac:dyDescent="0.25">
      <c r="A139" s="8" t="s">
        <v>149</v>
      </c>
      <c r="B139" s="9">
        <v>99064</v>
      </c>
      <c r="C139" s="10" t="s">
        <v>10</v>
      </c>
      <c r="D139" s="56" t="s">
        <v>41</v>
      </c>
      <c r="E139" s="436" t="s">
        <v>42</v>
      </c>
      <c r="F139" s="533">
        <f>MC!N331</f>
        <v>344.52</v>
      </c>
      <c r="G139" s="8">
        <v>0.43</v>
      </c>
      <c r="H139" s="511">
        <f t="shared" si="15"/>
        <v>0.11</v>
      </c>
      <c r="I139" s="14">
        <f t="shared" si="16"/>
        <v>0.54</v>
      </c>
      <c r="J139" s="15">
        <f t="shared" si="17"/>
        <v>186.04</v>
      </c>
      <c r="L139" s="510">
        <f t="shared" si="13"/>
        <v>148.13999999999999</v>
      </c>
      <c r="M139" s="510">
        <f t="shared" si="14"/>
        <v>186.04</v>
      </c>
    </row>
    <row r="140" spans="1:14" s="509" customFormat="1" x14ac:dyDescent="0.25">
      <c r="A140" s="8" t="s">
        <v>160</v>
      </c>
      <c r="B140" s="9">
        <v>99064</v>
      </c>
      <c r="C140" s="42" t="s">
        <v>10</v>
      </c>
      <c r="D140" s="56" t="s">
        <v>41</v>
      </c>
      <c r="E140" s="9" t="s">
        <v>42</v>
      </c>
      <c r="F140" s="533">
        <f>MC!N354</f>
        <v>102.08</v>
      </c>
      <c r="G140" s="8">
        <v>0.43</v>
      </c>
      <c r="H140" s="511">
        <f t="shared" si="15"/>
        <v>0.11</v>
      </c>
      <c r="I140" s="14">
        <f t="shared" si="16"/>
        <v>0.54</v>
      </c>
      <c r="J140" s="15">
        <f t="shared" si="17"/>
        <v>55.12</v>
      </c>
      <c r="K140" s="515"/>
      <c r="L140" s="510">
        <f t="shared" si="13"/>
        <v>43.89</v>
      </c>
      <c r="M140" s="510">
        <f t="shared" si="14"/>
        <v>55.12</v>
      </c>
    </row>
    <row r="141" spans="1:14" s="509" customFormat="1" x14ac:dyDescent="0.25">
      <c r="A141" s="8" t="s">
        <v>170</v>
      </c>
      <c r="B141" s="435">
        <v>99064</v>
      </c>
      <c r="C141" s="441" t="s">
        <v>10</v>
      </c>
      <c r="D141" s="56" t="s">
        <v>41</v>
      </c>
      <c r="E141" s="9" t="s">
        <v>42</v>
      </c>
      <c r="F141" s="530">
        <f>MC!N378</f>
        <v>267.25</v>
      </c>
      <c r="G141" s="8">
        <v>0.43</v>
      </c>
      <c r="H141" s="511">
        <f t="shared" si="15"/>
        <v>0.11</v>
      </c>
      <c r="I141" s="14">
        <f t="shared" si="16"/>
        <v>0.54</v>
      </c>
      <c r="J141" s="15">
        <f t="shared" si="17"/>
        <v>144.32</v>
      </c>
      <c r="K141" s="515"/>
      <c r="L141" s="510">
        <f t="shared" si="13"/>
        <v>114.92</v>
      </c>
      <c r="M141" s="510">
        <f t="shared" si="14"/>
        <v>144.32</v>
      </c>
    </row>
    <row r="142" spans="1:14" s="509" customFormat="1" x14ac:dyDescent="0.25">
      <c r="A142" s="8" t="s">
        <v>321</v>
      </c>
      <c r="B142" s="9">
        <v>99064</v>
      </c>
      <c r="C142" s="42" t="s">
        <v>10</v>
      </c>
      <c r="D142" s="56" t="s">
        <v>41</v>
      </c>
      <c r="E142" s="9" t="s">
        <v>42</v>
      </c>
      <c r="F142" s="530">
        <f>MC!N443</f>
        <v>488.49</v>
      </c>
      <c r="G142" s="8">
        <v>0.43</v>
      </c>
      <c r="H142" s="511">
        <f t="shared" si="15"/>
        <v>0.11</v>
      </c>
      <c r="I142" s="14">
        <f t="shared" si="16"/>
        <v>0.54</v>
      </c>
      <c r="J142" s="15">
        <f t="shared" si="17"/>
        <v>263.77999999999997</v>
      </c>
      <c r="L142" s="510">
        <f t="shared" si="13"/>
        <v>210.05</v>
      </c>
      <c r="M142" s="510">
        <f t="shared" si="14"/>
        <v>263.77999999999997</v>
      </c>
    </row>
    <row r="143" spans="1:14" s="509" customFormat="1" x14ac:dyDescent="0.25">
      <c r="A143" s="9" t="s">
        <v>335</v>
      </c>
      <c r="B143" s="9">
        <v>99064</v>
      </c>
      <c r="C143" s="42" t="s">
        <v>10</v>
      </c>
      <c r="D143" s="56" t="s">
        <v>41</v>
      </c>
      <c r="E143" s="9" t="s">
        <v>42</v>
      </c>
      <c r="F143" s="531">
        <f>MC!N475</f>
        <v>1453.72</v>
      </c>
      <c r="G143" s="8">
        <v>0.43</v>
      </c>
      <c r="H143" s="508">
        <f t="shared" si="15"/>
        <v>0.11</v>
      </c>
      <c r="I143" s="256">
        <f t="shared" si="16"/>
        <v>0.54</v>
      </c>
      <c r="J143" s="257">
        <f t="shared" si="17"/>
        <v>785.01</v>
      </c>
      <c r="L143" s="510">
        <f t="shared" si="13"/>
        <v>625.1</v>
      </c>
      <c r="M143" s="510">
        <f t="shared" si="14"/>
        <v>785.01</v>
      </c>
    </row>
    <row r="144" spans="1:14" s="509" customFormat="1" x14ac:dyDescent="0.25">
      <c r="A144" s="9" t="s">
        <v>354</v>
      </c>
      <c r="B144" s="9">
        <v>99064</v>
      </c>
      <c r="C144" s="42" t="s">
        <v>10</v>
      </c>
      <c r="D144" s="56" t="s">
        <v>41</v>
      </c>
      <c r="E144" s="9" t="s">
        <v>42</v>
      </c>
      <c r="F144" s="531">
        <f>MC!N541</f>
        <v>247.66</v>
      </c>
      <c r="G144" s="8">
        <v>0.43</v>
      </c>
      <c r="H144" s="508">
        <f t="shared" si="15"/>
        <v>0.11</v>
      </c>
      <c r="I144" s="256">
        <f t="shared" si="16"/>
        <v>0.54</v>
      </c>
      <c r="J144" s="257">
        <f t="shared" si="17"/>
        <v>133.74</v>
      </c>
      <c r="L144" s="510">
        <f t="shared" si="13"/>
        <v>106.49</v>
      </c>
      <c r="M144" s="510">
        <f t="shared" si="14"/>
        <v>133.74</v>
      </c>
    </row>
    <row r="145" spans="1:14" s="509" customFormat="1" x14ac:dyDescent="0.25">
      <c r="A145" s="9" t="s">
        <v>373</v>
      </c>
      <c r="B145" s="9">
        <v>99064</v>
      </c>
      <c r="C145" s="42" t="s">
        <v>10</v>
      </c>
      <c r="D145" s="56" t="s">
        <v>41</v>
      </c>
      <c r="E145" s="9" t="s">
        <v>42</v>
      </c>
      <c r="F145" s="531">
        <f>MC!N602</f>
        <v>290.29000000000002</v>
      </c>
      <c r="G145" s="8">
        <v>0.43</v>
      </c>
      <c r="H145" s="508">
        <f t="shared" si="15"/>
        <v>0.11</v>
      </c>
      <c r="I145" s="256">
        <f t="shared" si="16"/>
        <v>0.54</v>
      </c>
      <c r="J145" s="257">
        <f t="shared" si="17"/>
        <v>156.76</v>
      </c>
      <c r="L145" s="510">
        <f t="shared" si="13"/>
        <v>124.82</v>
      </c>
      <c r="M145" s="510">
        <f t="shared" si="14"/>
        <v>156.76</v>
      </c>
    </row>
    <row r="146" spans="1:14" s="509" customFormat="1" x14ac:dyDescent="0.25">
      <c r="A146" s="9" t="s">
        <v>383</v>
      </c>
      <c r="B146" s="9">
        <v>99064</v>
      </c>
      <c r="C146" s="42" t="s">
        <v>10</v>
      </c>
      <c r="D146" s="56" t="s">
        <v>41</v>
      </c>
      <c r="E146" s="9" t="s">
        <v>42</v>
      </c>
      <c r="F146" s="531">
        <f>MC!N666</f>
        <v>138.75</v>
      </c>
      <c r="G146" s="8">
        <v>0.43</v>
      </c>
      <c r="H146" s="508">
        <f t="shared" si="15"/>
        <v>0.11</v>
      </c>
      <c r="I146" s="256">
        <f t="shared" si="16"/>
        <v>0.54</v>
      </c>
      <c r="J146" s="257">
        <f t="shared" si="17"/>
        <v>74.930000000000007</v>
      </c>
      <c r="L146" s="510">
        <f t="shared" si="13"/>
        <v>59.66</v>
      </c>
      <c r="M146" s="510">
        <f t="shared" si="14"/>
        <v>74.930000000000007</v>
      </c>
    </row>
    <row r="147" spans="1:14" s="509" customFormat="1" x14ac:dyDescent="0.25">
      <c r="A147" s="9" t="s">
        <v>393</v>
      </c>
      <c r="B147" s="9">
        <v>99064</v>
      </c>
      <c r="C147" s="42" t="s">
        <v>10</v>
      </c>
      <c r="D147" s="56" t="s">
        <v>41</v>
      </c>
      <c r="E147" s="9" t="s">
        <v>42</v>
      </c>
      <c r="F147" s="531">
        <f>MC!N689</f>
        <v>116.07</v>
      </c>
      <c r="G147" s="8">
        <v>0.43</v>
      </c>
      <c r="H147" s="508">
        <f t="shared" si="15"/>
        <v>0.11</v>
      </c>
      <c r="I147" s="256">
        <f t="shared" si="16"/>
        <v>0.54</v>
      </c>
      <c r="J147" s="257">
        <f t="shared" si="17"/>
        <v>62.68</v>
      </c>
      <c r="L147" s="510">
        <f t="shared" si="13"/>
        <v>49.91</v>
      </c>
      <c r="M147" s="510">
        <f t="shared" si="14"/>
        <v>62.68</v>
      </c>
    </row>
    <row r="148" spans="1:14" s="509" customFormat="1" x14ac:dyDescent="0.25">
      <c r="A148" s="9" t="s">
        <v>648</v>
      </c>
      <c r="B148" s="9">
        <v>99064</v>
      </c>
      <c r="C148" s="10" t="s">
        <v>10</v>
      </c>
      <c r="D148" s="56" t="s">
        <v>41</v>
      </c>
      <c r="E148" s="436" t="s">
        <v>42</v>
      </c>
      <c r="F148" s="531">
        <f>MC!N756</f>
        <v>193.64</v>
      </c>
      <c r="G148" s="8">
        <v>0.43</v>
      </c>
      <c r="H148" s="508">
        <f t="shared" si="15"/>
        <v>0.11</v>
      </c>
      <c r="I148" s="256">
        <f t="shared" si="16"/>
        <v>0.54</v>
      </c>
      <c r="J148" s="257">
        <f t="shared" si="17"/>
        <v>104.57</v>
      </c>
      <c r="L148" s="510">
        <f t="shared" si="13"/>
        <v>83.27</v>
      </c>
      <c r="M148" s="510">
        <f t="shared" si="14"/>
        <v>104.57</v>
      </c>
    </row>
    <row r="149" spans="1:14" s="509" customFormat="1" x14ac:dyDescent="0.25">
      <c r="A149" s="9" t="s">
        <v>588</v>
      </c>
      <c r="B149" s="106">
        <v>99063</v>
      </c>
      <c r="C149" s="9" t="s">
        <v>10</v>
      </c>
      <c r="D149" s="349" t="s">
        <v>48</v>
      </c>
      <c r="E149" s="9" t="s">
        <v>42</v>
      </c>
      <c r="F149" s="529">
        <f>MC!N171</f>
        <v>36.65</v>
      </c>
      <c r="G149" s="9">
        <v>3.7</v>
      </c>
      <c r="H149" s="508">
        <f t="shared" si="15"/>
        <v>0.97</v>
      </c>
      <c r="I149" s="256">
        <f t="shared" si="16"/>
        <v>4.67</v>
      </c>
      <c r="J149" s="257">
        <f t="shared" si="17"/>
        <v>171.16</v>
      </c>
      <c r="K149" s="515"/>
      <c r="L149" s="510">
        <f t="shared" si="13"/>
        <v>135.61000000000001</v>
      </c>
      <c r="M149" s="510">
        <f t="shared" si="14"/>
        <v>171.16</v>
      </c>
    </row>
    <row r="150" spans="1:14" s="509" customFormat="1" x14ac:dyDescent="0.25">
      <c r="A150" s="9" t="s">
        <v>602</v>
      </c>
      <c r="B150" s="439">
        <v>99063</v>
      </c>
      <c r="C150" s="436" t="s">
        <v>10</v>
      </c>
      <c r="D150" s="349" t="s">
        <v>48</v>
      </c>
      <c r="E150" s="9" t="s">
        <v>42</v>
      </c>
      <c r="F150" s="529">
        <f>MC!N279</f>
        <v>16.72</v>
      </c>
      <c r="G150" s="9">
        <v>3.7</v>
      </c>
      <c r="H150" s="508">
        <f t="shared" si="15"/>
        <v>0.97</v>
      </c>
      <c r="I150" s="256">
        <f t="shared" si="16"/>
        <v>4.67</v>
      </c>
      <c r="J150" s="257">
        <f t="shared" si="17"/>
        <v>78.08</v>
      </c>
      <c r="K150" s="515"/>
      <c r="L150" s="510">
        <f t="shared" si="13"/>
        <v>61.86</v>
      </c>
      <c r="M150" s="510">
        <f t="shared" si="14"/>
        <v>78.08</v>
      </c>
    </row>
    <row r="151" spans="1:14" s="509" customFormat="1" x14ac:dyDescent="0.25">
      <c r="A151" s="8" t="s">
        <v>175</v>
      </c>
      <c r="B151" s="343">
        <v>99063</v>
      </c>
      <c r="C151" s="8" t="s">
        <v>10</v>
      </c>
      <c r="D151" s="344" t="s">
        <v>48</v>
      </c>
      <c r="E151" s="8" t="s">
        <v>42</v>
      </c>
      <c r="F151" s="533">
        <f>MC!N391</f>
        <v>13.77</v>
      </c>
      <c r="G151" s="8">
        <v>3.7</v>
      </c>
      <c r="H151" s="511">
        <f t="shared" si="15"/>
        <v>0.97</v>
      </c>
      <c r="I151" s="14">
        <f t="shared" si="16"/>
        <v>4.67</v>
      </c>
      <c r="J151" s="15">
        <f t="shared" si="17"/>
        <v>64.31</v>
      </c>
      <c r="L151" s="510">
        <f t="shared" si="13"/>
        <v>50.95</v>
      </c>
      <c r="M151" s="510">
        <f t="shared" si="14"/>
        <v>64.31</v>
      </c>
    </row>
    <row r="152" spans="1:14" s="509" customFormat="1" x14ac:dyDescent="0.25">
      <c r="A152" s="9" t="s">
        <v>340</v>
      </c>
      <c r="B152" s="106">
        <v>99063</v>
      </c>
      <c r="C152" s="9" t="s">
        <v>10</v>
      </c>
      <c r="D152" s="349" t="s">
        <v>48</v>
      </c>
      <c r="E152" s="9" t="s">
        <v>42</v>
      </c>
      <c r="F152" s="529">
        <f>MC!N488</f>
        <v>212.44</v>
      </c>
      <c r="G152" s="9">
        <v>3.7</v>
      </c>
      <c r="H152" s="508">
        <f t="shared" si="15"/>
        <v>0.97</v>
      </c>
      <c r="I152" s="256">
        <f t="shared" si="16"/>
        <v>4.67</v>
      </c>
      <c r="J152" s="257">
        <f t="shared" si="17"/>
        <v>992.09</v>
      </c>
      <c r="L152" s="510">
        <f t="shared" si="13"/>
        <v>786.03</v>
      </c>
      <c r="M152" s="510">
        <f t="shared" si="14"/>
        <v>992.09</v>
      </c>
    </row>
    <row r="153" spans="1:14" s="509" customFormat="1" x14ac:dyDescent="0.25">
      <c r="A153" s="9" t="s">
        <v>359</v>
      </c>
      <c r="B153" s="106">
        <v>99063</v>
      </c>
      <c r="C153" s="9" t="s">
        <v>10</v>
      </c>
      <c r="D153" s="349" t="s">
        <v>48</v>
      </c>
      <c r="E153" s="9" t="s">
        <v>42</v>
      </c>
      <c r="F153" s="529">
        <f>MC!N554</f>
        <v>87.81</v>
      </c>
      <c r="G153" s="426">
        <v>3.7</v>
      </c>
      <c r="H153" s="508">
        <f t="shared" si="15"/>
        <v>0.97</v>
      </c>
      <c r="I153" s="256">
        <f t="shared" si="16"/>
        <v>4.67</v>
      </c>
      <c r="J153" s="257">
        <f t="shared" si="17"/>
        <v>410.07</v>
      </c>
      <c r="L153" s="510">
        <f t="shared" si="13"/>
        <v>324.89999999999998</v>
      </c>
      <c r="M153" s="510">
        <f t="shared" si="14"/>
        <v>410.07</v>
      </c>
    </row>
    <row r="154" spans="1:14" s="509" customFormat="1" x14ac:dyDescent="0.25">
      <c r="A154" s="9" t="s">
        <v>628</v>
      </c>
      <c r="B154" s="106">
        <v>99063</v>
      </c>
      <c r="C154" s="9" t="s">
        <v>10</v>
      </c>
      <c r="D154" s="319" t="s">
        <v>48</v>
      </c>
      <c r="E154" s="9" t="s">
        <v>42</v>
      </c>
      <c r="F154" s="529">
        <f>MC!N615</f>
        <v>34.619999999999997</v>
      </c>
      <c r="G154" s="9">
        <v>3.7</v>
      </c>
      <c r="H154" s="508">
        <f t="shared" si="15"/>
        <v>0.97</v>
      </c>
      <c r="I154" s="256">
        <f t="shared" si="16"/>
        <v>4.67</v>
      </c>
      <c r="J154" s="257">
        <f t="shared" si="17"/>
        <v>161.68</v>
      </c>
      <c r="L154" s="510">
        <f t="shared" si="13"/>
        <v>128.09</v>
      </c>
      <c r="M154" s="510">
        <f t="shared" si="14"/>
        <v>161.68</v>
      </c>
    </row>
    <row r="155" spans="1:14" s="509" customFormat="1" x14ac:dyDescent="0.25">
      <c r="A155" s="9" t="s">
        <v>398</v>
      </c>
      <c r="B155" s="343">
        <v>99063</v>
      </c>
      <c r="C155" s="8" t="s">
        <v>10</v>
      </c>
      <c r="D155" s="344" t="s">
        <v>48</v>
      </c>
      <c r="E155" s="8" t="s">
        <v>42</v>
      </c>
      <c r="F155" s="529">
        <f>MC!N701</f>
        <v>119.92</v>
      </c>
      <c r="G155" s="9">
        <v>3.7</v>
      </c>
      <c r="H155" s="508">
        <f t="shared" si="15"/>
        <v>0.97</v>
      </c>
      <c r="I155" s="256">
        <f t="shared" si="16"/>
        <v>4.67</v>
      </c>
      <c r="J155" s="257">
        <f t="shared" si="17"/>
        <v>560.03</v>
      </c>
      <c r="L155" s="510">
        <f t="shared" si="13"/>
        <v>443.7</v>
      </c>
      <c r="M155" s="510">
        <f t="shared" si="14"/>
        <v>560.03</v>
      </c>
    </row>
    <row r="156" spans="1:14" s="509" customFormat="1" x14ac:dyDescent="0.25">
      <c r="A156" s="9" t="s">
        <v>653</v>
      </c>
      <c r="B156" s="106">
        <v>99063</v>
      </c>
      <c r="C156" s="9" t="s">
        <v>10</v>
      </c>
      <c r="D156" s="349" t="s">
        <v>48</v>
      </c>
      <c r="E156" s="9" t="s">
        <v>42</v>
      </c>
      <c r="F156" s="529">
        <f>MC!N769</f>
        <v>20.079999999999998</v>
      </c>
      <c r="G156" s="9">
        <v>3.7</v>
      </c>
      <c r="H156" s="508">
        <f t="shared" si="15"/>
        <v>0.97</v>
      </c>
      <c r="I156" s="256">
        <f t="shared" si="16"/>
        <v>4.67</v>
      </c>
      <c r="J156" s="257">
        <f t="shared" si="17"/>
        <v>93.77</v>
      </c>
      <c r="L156" s="510">
        <f t="shared" si="13"/>
        <v>74.3</v>
      </c>
      <c r="M156" s="510">
        <f t="shared" si="14"/>
        <v>93.77</v>
      </c>
    </row>
    <row r="157" spans="1:14" s="509" customFormat="1" ht="39" x14ac:dyDescent="0.25">
      <c r="A157" s="9" t="s">
        <v>598</v>
      </c>
      <c r="B157" s="106">
        <v>97973</v>
      </c>
      <c r="C157" s="9" t="s">
        <v>10</v>
      </c>
      <c r="D157" s="342" t="s">
        <v>445</v>
      </c>
      <c r="E157" s="9" t="s">
        <v>57</v>
      </c>
      <c r="F157" s="529">
        <f>MC!N201</f>
        <v>8</v>
      </c>
      <c r="G157" s="9">
        <v>3071.14</v>
      </c>
      <c r="H157" s="508">
        <f t="shared" si="15"/>
        <v>802.8</v>
      </c>
      <c r="I157" s="256">
        <f t="shared" si="16"/>
        <v>3873.94</v>
      </c>
      <c r="J157" s="257">
        <f t="shared" si="17"/>
        <v>30991.52</v>
      </c>
      <c r="L157" s="510">
        <f t="shared" si="13"/>
        <v>24569.119999999999</v>
      </c>
      <c r="M157" s="510">
        <f t="shared" si="14"/>
        <v>30991.52</v>
      </c>
    </row>
    <row r="158" spans="1:14" s="509" customFormat="1" ht="39" x14ac:dyDescent="0.25">
      <c r="A158" s="9" t="s">
        <v>613</v>
      </c>
      <c r="B158" s="106">
        <v>97973</v>
      </c>
      <c r="C158" s="9" t="s">
        <v>10</v>
      </c>
      <c r="D158" s="342" t="s">
        <v>445</v>
      </c>
      <c r="E158" s="9" t="s">
        <v>57</v>
      </c>
      <c r="F158" s="529">
        <f>MC!N313</f>
        <v>2</v>
      </c>
      <c r="G158" s="9">
        <v>3071.14</v>
      </c>
      <c r="H158" s="508">
        <f t="shared" si="15"/>
        <v>802.8</v>
      </c>
      <c r="I158" s="256">
        <f t="shared" si="16"/>
        <v>3873.94</v>
      </c>
      <c r="J158" s="257">
        <f t="shared" si="17"/>
        <v>7747.88</v>
      </c>
      <c r="L158" s="510">
        <f t="shared" si="13"/>
        <v>6142.28</v>
      </c>
      <c r="M158" s="510">
        <f t="shared" si="14"/>
        <v>7747.88</v>
      </c>
    </row>
    <row r="159" spans="1:14" s="509" customFormat="1" ht="39" x14ac:dyDescent="0.25">
      <c r="A159" s="8" t="s">
        <v>624</v>
      </c>
      <c r="B159" s="106">
        <v>97973</v>
      </c>
      <c r="C159" s="9" t="s">
        <v>10</v>
      </c>
      <c r="D159" s="342" t="s">
        <v>445</v>
      </c>
      <c r="E159" s="9" t="s">
        <v>57</v>
      </c>
      <c r="F159" s="533">
        <f>MC!N424</f>
        <v>2</v>
      </c>
      <c r="G159" s="8">
        <v>3071.14</v>
      </c>
      <c r="H159" s="511">
        <f t="shared" si="15"/>
        <v>802.8</v>
      </c>
      <c r="I159" s="14">
        <f t="shared" si="16"/>
        <v>3873.94</v>
      </c>
      <c r="J159" s="15">
        <f t="shared" si="17"/>
        <v>7747.88</v>
      </c>
      <c r="L159" s="510">
        <f t="shared" si="13"/>
        <v>6142.28</v>
      </c>
      <c r="M159" s="510">
        <f t="shared" si="14"/>
        <v>7747.88</v>
      </c>
      <c r="N159" s="515"/>
    </row>
    <row r="160" spans="1:14" s="509" customFormat="1" ht="39" x14ac:dyDescent="0.25">
      <c r="A160" s="9" t="s">
        <v>566</v>
      </c>
      <c r="B160" s="106">
        <v>97973</v>
      </c>
      <c r="C160" s="9" t="s">
        <v>10</v>
      </c>
      <c r="D160" s="342" t="s">
        <v>445</v>
      </c>
      <c r="E160" s="9" t="s">
        <v>57</v>
      </c>
      <c r="F160" s="529">
        <f>MC!N522</f>
        <v>34</v>
      </c>
      <c r="G160" s="9">
        <v>3071.14</v>
      </c>
      <c r="H160" s="508">
        <f t="shared" si="15"/>
        <v>802.8</v>
      </c>
      <c r="I160" s="256">
        <f t="shared" si="16"/>
        <v>3873.94</v>
      </c>
      <c r="J160" s="257">
        <f t="shared" si="17"/>
        <v>131713.96</v>
      </c>
      <c r="L160" s="510">
        <f t="shared" si="13"/>
        <v>104418.76</v>
      </c>
      <c r="M160" s="510">
        <f t="shared" si="14"/>
        <v>131713.96</v>
      </c>
    </row>
    <row r="161" spans="1:14" s="509" customFormat="1" ht="39" x14ac:dyDescent="0.25">
      <c r="A161" s="9" t="s">
        <v>569</v>
      </c>
      <c r="B161" s="106">
        <v>97973</v>
      </c>
      <c r="C161" s="9" t="s">
        <v>10</v>
      </c>
      <c r="D161" s="342" t="s">
        <v>445</v>
      </c>
      <c r="E161" s="9" t="s">
        <v>57</v>
      </c>
      <c r="F161" s="529">
        <f>MC!N584</f>
        <v>12</v>
      </c>
      <c r="G161" s="9">
        <v>3071.14</v>
      </c>
      <c r="H161" s="508">
        <f t="shared" si="15"/>
        <v>802.8</v>
      </c>
      <c r="I161" s="256">
        <f t="shared" si="16"/>
        <v>3873.94</v>
      </c>
      <c r="J161" s="257">
        <f t="shared" si="17"/>
        <v>46487.28</v>
      </c>
      <c r="L161" s="510">
        <f t="shared" si="13"/>
        <v>36853.68</v>
      </c>
      <c r="M161" s="510">
        <f t="shared" si="14"/>
        <v>46487.28</v>
      </c>
    </row>
    <row r="162" spans="1:14" s="509" customFormat="1" ht="39" x14ac:dyDescent="0.25">
      <c r="A162" s="9" t="s">
        <v>639</v>
      </c>
      <c r="B162" s="106">
        <v>97973</v>
      </c>
      <c r="C162" s="9" t="s">
        <v>10</v>
      </c>
      <c r="D162" s="342" t="s">
        <v>445</v>
      </c>
      <c r="E162" s="9" t="s">
        <v>57</v>
      </c>
      <c r="F162" s="529">
        <f>MC!N648</f>
        <v>3</v>
      </c>
      <c r="G162" s="9">
        <v>3071.14</v>
      </c>
      <c r="H162" s="508">
        <f t="shared" si="15"/>
        <v>802.8</v>
      </c>
      <c r="I162" s="256">
        <f t="shared" si="16"/>
        <v>3873.94</v>
      </c>
      <c r="J162" s="257">
        <f t="shared" si="17"/>
        <v>11621.82</v>
      </c>
      <c r="L162" s="510">
        <f t="shared" si="13"/>
        <v>9213.42</v>
      </c>
      <c r="M162" s="510">
        <f t="shared" si="14"/>
        <v>11621.82</v>
      </c>
    </row>
    <row r="163" spans="1:14" s="509" customFormat="1" ht="39" x14ac:dyDescent="0.25">
      <c r="A163" s="9" t="s">
        <v>612</v>
      </c>
      <c r="B163" s="106">
        <v>97961</v>
      </c>
      <c r="C163" s="9" t="s">
        <v>10</v>
      </c>
      <c r="D163" s="342" t="s">
        <v>273</v>
      </c>
      <c r="E163" s="9" t="s">
        <v>57</v>
      </c>
      <c r="F163" s="529">
        <f>MC!N310</f>
        <v>2</v>
      </c>
      <c r="G163" s="9">
        <v>1604.73</v>
      </c>
      <c r="H163" s="508">
        <f t="shared" si="15"/>
        <v>419.48</v>
      </c>
      <c r="I163" s="256">
        <f t="shared" si="16"/>
        <v>2024.21</v>
      </c>
      <c r="J163" s="257">
        <f t="shared" si="17"/>
        <v>4048.42</v>
      </c>
      <c r="L163" s="510">
        <f t="shared" si="13"/>
        <v>3209.46</v>
      </c>
      <c r="M163" s="510">
        <f t="shared" si="14"/>
        <v>4048.42</v>
      </c>
    </row>
    <row r="164" spans="1:14" s="509" customFormat="1" ht="39" x14ac:dyDescent="0.25">
      <c r="A164" s="8" t="s">
        <v>623</v>
      </c>
      <c r="B164" s="343">
        <v>97961</v>
      </c>
      <c r="C164" s="9" t="s">
        <v>10</v>
      </c>
      <c r="D164" s="345" t="s">
        <v>273</v>
      </c>
      <c r="E164" s="8" t="s">
        <v>57</v>
      </c>
      <c r="F164" s="533">
        <f>MC!N421</f>
        <v>2</v>
      </c>
      <c r="G164" s="8">
        <v>1604.73</v>
      </c>
      <c r="H164" s="511">
        <f t="shared" si="15"/>
        <v>419.48</v>
      </c>
      <c r="I164" s="14">
        <f t="shared" si="16"/>
        <v>2024.21</v>
      </c>
      <c r="J164" s="15">
        <f t="shared" si="17"/>
        <v>4048.42</v>
      </c>
      <c r="L164" s="510">
        <f t="shared" si="13"/>
        <v>3209.46</v>
      </c>
      <c r="M164" s="510">
        <f t="shared" si="14"/>
        <v>4048.42</v>
      </c>
    </row>
    <row r="165" spans="1:14" s="509" customFormat="1" ht="39" x14ac:dyDescent="0.25">
      <c r="A165" s="9" t="s">
        <v>565</v>
      </c>
      <c r="B165" s="106">
        <v>97961</v>
      </c>
      <c r="C165" s="9" t="s">
        <v>10</v>
      </c>
      <c r="D165" s="342" t="s">
        <v>273</v>
      </c>
      <c r="E165" s="9" t="s">
        <v>57</v>
      </c>
      <c r="F165" s="529">
        <f>MC!N519</f>
        <v>8</v>
      </c>
      <c r="G165" s="9">
        <v>1604.73</v>
      </c>
      <c r="H165" s="508">
        <f t="shared" si="15"/>
        <v>419.48</v>
      </c>
      <c r="I165" s="256">
        <f t="shared" si="16"/>
        <v>2024.21</v>
      </c>
      <c r="J165" s="257">
        <f t="shared" si="17"/>
        <v>16193.68</v>
      </c>
      <c r="L165" s="510">
        <f t="shared" si="13"/>
        <v>12837.84</v>
      </c>
      <c r="M165" s="510">
        <f t="shared" si="14"/>
        <v>16193.68</v>
      </c>
    </row>
    <row r="166" spans="1:14" s="509" customFormat="1" ht="39" x14ac:dyDescent="0.25">
      <c r="A166" s="9" t="s">
        <v>638</v>
      </c>
      <c r="B166" s="106">
        <v>97961</v>
      </c>
      <c r="C166" s="9" t="s">
        <v>10</v>
      </c>
      <c r="D166" s="342" t="s">
        <v>273</v>
      </c>
      <c r="E166" s="9" t="s">
        <v>57</v>
      </c>
      <c r="F166" s="529">
        <f>MC!N645</f>
        <v>3</v>
      </c>
      <c r="G166" s="9">
        <v>1604.73</v>
      </c>
      <c r="H166" s="508">
        <f t="shared" si="15"/>
        <v>419.48</v>
      </c>
      <c r="I166" s="256">
        <f t="shared" si="16"/>
        <v>2024.21</v>
      </c>
      <c r="J166" s="257">
        <f t="shared" si="17"/>
        <v>6072.63</v>
      </c>
      <c r="L166" s="510">
        <f t="shared" si="13"/>
        <v>4814.1899999999996</v>
      </c>
      <c r="M166" s="510">
        <f t="shared" si="14"/>
        <v>6072.63</v>
      </c>
    </row>
    <row r="167" spans="1:14" s="509" customFormat="1" ht="39" x14ac:dyDescent="0.25">
      <c r="A167" s="9" t="s">
        <v>572</v>
      </c>
      <c r="B167" s="343">
        <v>97961</v>
      </c>
      <c r="C167" s="9" t="s">
        <v>10</v>
      </c>
      <c r="D167" s="345" t="s">
        <v>273</v>
      </c>
      <c r="E167" s="8" t="s">
        <v>57</v>
      </c>
      <c r="F167" s="529">
        <f>MC!N738</f>
        <v>2</v>
      </c>
      <c r="G167" s="9">
        <v>1604.73</v>
      </c>
      <c r="H167" s="508">
        <f t="shared" si="15"/>
        <v>419.48</v>
      </c>
      <c r="I167" s="256">
        <f t="shared" si="16"/>
        <v>2024.21</v>
      </c>
      <c r="J167" s="257">
        <f t="shared" si="17"/>
        <v>4048.42</v>
      </c>
      <c r="L167" s="510">
        <f t="shared" si="13"/>
        <v>3209.46</v>
      </c>
      <c r="M167" s="510">
        <f t="shared" si="14"/>
        <v>4048.42</v>
      </c>
    </row>
    <row r="168" spans="1:14" s="509" customFormat="1" ht="39" x14ac:dyDescent="0.25">
      <c r="A168" s="9" t="s">
        <v>663</v>
      </c>
      <c r="B168" s="106">
        <v>97961</v>
      </c>
      <c r="C168" s="440" t="s">
        <v>10</v>
      </c>
      <c r="D168" s="342" t="s">
        <v>273</v>
      </c>
      <c r="E168" s="436" t="s">
        <v>57</v>
      </c>
      <c r="F168" s="529">
        <f>MC!N799</f>
        <v>4</v>
      </c>
      <c r="G168" s="9">
        <v>1604.73</v>
      </c>
      <c r="H168" s="508">
        <f t="shared" si="15"/>
        <v>419.48</v>
      </c>
      <c r="I168" s="256">
        <f t="shared" si="16"/>
        <v>2024.21</v>
      </c>
      <c r="J168" s="257">
        <f t="shared" si="17"/>
        <v>8096.84</v>
      </c>
      <c r="L168" s="510">
        <f t="shared" si="13"/>
        <v>6418.92</v>
      </c>
      <c r="M168" s="510">
        <f t="shared" si="14"/>
        <v>8096.84</v>
      </c>
    </row>
    <row r="169" spans="1:14" s="509" customFormat="1" ht="25.5" x14ac:dyDescent="0.25">
      <c r="A169" s="9" t="s">
        <v>595</v>
      </c>
      <c r="B169" s="549">
        <v>97913</v>
      </c>
      <c r="C169" s="9" t="s">
        <v>10</v>
      </c>
      <c r="D169" s="56" t="s">
        <v>54</v>
      </c>
      <c r="E169" s="9" t="s">
        <v>55</v>
      </c>
      <c r="F169" s="553">
        <f>MC!N192</f>
        <v>96.56</v>
      </c>
      <c r="G169" s="9">
        <v>2.15</v>
      </c>
      <c r="H169" s="508">
        <f t="shared" si="15"/>
        <v>0.56000000000000005</v>
      </c>
      <c r="I169" s="256">
        <f t="shared" si="16"/>
        <v>2.71</v>
      </c>
      <c r="J169" s="257">
        <f t="shared" si="17"/>
        <v>261.68</v>
      </c>
      <c r="K169" s="515"/>
      <c r="L169" s="510">
        <f t="shared" si="13"/>
        <v>207.6</v>
      </c>
      <c r="M169" s="510">
        <f t="shared" si="14"/>
        <v>261.68</v>
      </c>
    </row>
    <row r="170" spans="1:14" s="509" customFormat="1" ht="25.5" x14ac:dyDescent="0.25">
      <c r="A170" s="9" t="s">
        <v>609</v>
      </c>
      <c r="B170" s="555">
        <v>97913</v>
      </c>
      <c r="C170" s="436" t="s">
        <v>10</v>
      </c>
      <c r="D170" s="56" t="s">
        <v>54</v>
      </c>
      <c r="E170" s="9" t="s">
        <v>55</v>
      </c>
      <c r="F170" s="553">
        <f>MC!N301</f>
        <v>44</v>
      </c>
      <c r="G170" s="9">
        <v>2.15</v>
      </c>
      <c r="H170" s="508">
        <f t="shared" si="15"/>
        <v>0.56000000000000005</v>
      </c>
      <c r="I170" s="256">
        <f t="shared" si="16"/>
        <v>2.71</v>
      </c>
      <c r="J170" s="257">
        <f t="shared" si="17"/>
        <v>119.24</v>
      </c>
      <c r="K170" s="515"/>
      <c r="L170" s="510">
        <f t="shared" si="13"/>
        <v>94.6</v>
      </c>
      <c r="M170" s="510">
        <f t="shared" si="14"/>
        <v>119.24</v>
      </c>
    </row>
    <row r="171" spans="1:14" s="509" customFormat="1" ht="25.5" x14ac:dyDescent="0.25">
      <c r="A171" s="8" t="s">
        <v>620</v>
      </c>
      <c r="B171" s="556">
        <v>97913</v>
      </c>
      <c r="C171" s="9" t="s">
        <v>10</v>
      </c>
      <c r="D171" s="346" t="s">
        <v>54</v>
      </c>
      <c r="E171" s="8" t="s">
        <v>55</v>
      </c>
      <c r="F171" s="552">
        <f>MC!N412</f>
        <v>36.25</v>
      </c>
      <c r="G171" s="8">
        <v>2.15</v>
      </c>
      <c r="H171" s="511">
        <f t="shared" si="15"/>
        <v>0.56000000000000005</v>
      </c>
      <c r="I171" s="14">
        <f t="shared" si="16"/>
        <v>2.71</v>
      </c>
      <c r="J171" s="15">
        <f t="shared" si="17"/>
        <v>98.24</v>
      </c>
      <c r="L171" s="510">
        <f t="shared" si="13"/>
        <v>77.94</v>
      </c>
      <c r="M171" s="510">
        <f t="shared" si="14"/>
        <v>98.24</v>
      </c>
      <c r="N171" s="515"/>
    </row>
    <row r="172" spans="1:14" s="509" customFormat="1" ht="25.5" x14ac:dyDescent="0.25">
      <c r="A172" s="9" t="s">
        <v>347</v>
      </c>
      <c r="B172" s="549">
        <v>97913</v>
      </c>
      <c r="C172" s="9" t="s">
        <v>10</v>
      </c>
      <c r="D172" s="56" t="s">
        <v>54</v>
      </c>
      <c r="E172" s="9" t="s">
        <v>55</v>
      </c>
      <c r="F172" s="553">
        <f>MC!N510</f>
        <v>560.19000000000005</v>
      </c>
      <c r="G172" s="9">
        <v>2.15</v>
      </c>
      <c r="H172" s="508">
        <f t="shared" si="15"/>
        <v>0.56000000000000005</v>
      </c>
      <c r="I172" s="256">
        <f t="shared" si="16"/>
        <v>2.71</v>
      </c>
      <c r="J172" s="257">
        <f t="shared" si="17"/>
        <v>1518.11</v>
      </c>
      <c r="L172" s="510">
        <f t="shared" si="13"/>
        <v>1204.4100000000001</v>
      </c>
      <c r="M172" s="510">
        <f t="shared" si="14"/>
        <v>1518.11</v>
      </c>
    </row>
    <row r="173" spans="1:14" s="509" customFormat="1" ht="25.5" x14ac:dyDescent="0.25">
      <c r="A173" s="9" t="s">
        <v>366</v>
      </c>
      <c r="B173" s="549">
        <v>97913</v>
      </c>
      <c r="C173" s="9" t="s">
        <v>10</v>
      </c>
      <c r="D173" s="56" t="s">
        <v>54</v>
      </c>
      <c r="E173" s="9" t="s">
        <v>55</v>
      </c>
      <c r="F173" s="553">
        <f>MC!N575</f>
        <v>231.31</v>
      </c>
      <c r="G173" s="9">
        <v>2.15</v>
      </c>
      <c r="H173" s="508">
        <f t="shared" si="15"/>
        <v>0.56000000000000005</v>
      </c>
      <c r="I173" s="256">
        <f t="shared" si="16"/>
        <v>2.71</v>
      </c>
      <c r="J173" s="257">
        <f t="shared" si="17"/>
        <v>626.85</v>
      </c>
      <c r="L173" s="510">
        <f t="shared" si="13"/>
        <v>497.32</v>
      </c>
      <c r="M173" s="510">
        <f t="shared" si="14"/>
        <v>626.85</v>
      </c>
    </row>
    <row r="174" spans="1:14" s="509" customFormat="1" ht="25.5" x14ac:dyDescent="0.25">
      <c r="A174" s="9" t="s">
        <v>635</v>
      </c>
      <c r="B174" s="549">
        <v>97913</v>
      </c>
      <c r="C174" s="9" t="s">
        <v>10</v>
      </c>
      <c r="D174" s="56" t="s">
        <v>54</v>
      </c>
      <c r="E174" s="9" t="s">
        <v>55</v>
      </c>
      <c r="F174" s="553">
        <f>MC!N636</f>
        <v>14.59</v>
      </c>
      <c r="G174" s="9">
        <v>2.15</v>
      </c>
      <c r="H174" s="508">
        <f t="shared" si="15"/>
        <v>0.56000000000000005</v>
      </c>
      <c r="I174" s="256">
        <f t="shared" si="16"/>
        <v>2.71</v>
      </c>
      <c r="J174" s="257">
        <f t="shared" si="17"/>
        <v>39.54</v>
      </c>
      <c r="L174" s="510">
        <f t="shared" si="13"/>
        <v>31.37</v>
      </c>
      <c r="M174" s="510">
        <f t="shared" si="14"/>
        <v>39.54</v>
      </c>
    </row>
    <row r="175" spans="1:14" s="509" customFormat="1" ht="25.5" x14ac:dyDescent="0.25">
      <c r="A175" s="9" t="s">
        <v>472</v>
      </c>
      <c r="B175" s="556">
        <v>97913</v>
      </c>
      <c r="C175" s="9" t="s">
        <v>10</v>
      </c>
      <c r="D175" s="346" t="s">
        <v>54</v>
      </c>
      <c r="E175" s="8" t="s">
        <v>55</v>
      </c>
      <c r="F175" s="553">
        <f>MC!N726</f>
        <v>431.19</v>
      </c>
      <c r="G175" s="9">
        <v>2.15</v>
      </c>
      <c r="H175" s="508">
        <f t="shared" si="15"/>
        <v>0.56000000000000005</v>
      </c>
      <c r="I175" s="256">
        <f t="shared" si="16"/>
        <v>2.71</v>
      </c>
      <c r="J175" s="257">
        <f t="shared" si="17"/>
        <v>1168.52</v>
      </c>
      <c r="L175" s="510">
        <f t="shared" si="13"/>
        <v>927.06</v>
      </c>
      <c r="M175" s="510">
        <f t="shared" si="14"/>
        <v>1168.52</v>
      </c>
    </row>
    <row r="176" spans="1:14" s="509" customFormat="1" ht="25.5" x14ac:dyDescent="0.25">
      <c r="A176" s="9" t="s">
        <v>660</v>
      </c>
      <c r="B176" s="549">
        <v>97913</v>
      </c>
      <c r="C176" s="9" t="s">
        <v>10</v>
      </c>
      <c r="D176" s="56" t="s">
        <v>54</v>
      </c>
      <c r="E176" s="9" t="s">
        <v>55</v>
      </c>
      <c r="F176" s="553">
        <f>MC!N790</f>
        <v>52.88</v>
      </c>
      <c r="G176" s="9">
        <v>2.15</v>
      </c>
      <c r="H176" s="508">
        <f t="shared" si="15"/>
        <v>0.56000000000000005</v>
      </c>
      <c r="I176" s="256">
        <f t="shared" si="16"/>
        <v>2.71</v>
      </c>
      <c r="J176" s="257">
        <f t="shared" si="17"/>
        <v>143.30000000000001</v>
      </c>
      <c r="L176" s="510">
        <f t="shared" ref="L176:L220" si="18">ROUND(F176*G176,2)</f>
        <v>113.69</v>
      </c>
      <c r="M176" s="510">
        <f t="shared" ref="M176:M220" si="19">ROUND(F176*I176,2)</f>
        <v>143.30000000000001</v>
      </c>
    </row>
    <row r="177" spans="1:14" s="509" customFormat="1" ht="38.25" x14ac:dyDescent="0.25">
      <c r="A177" s="8" t="s">
        <v>64</v>
      </c>
      <c r="B177" s="9">
        <v>95875</v>
      </c>
      <c r="C177" s="9" t="s">
        <v>10</v>
      </c>
      <c r="D177" s="526" t="s">
        <v>35</v>
      </c>
      <c r="E177" s="9" t="s">
        <v>36</v>
      </c>
      <c r="F177" s="530">
        <f>MC!N61</f>
        <v>232.8</v>
      </c>
      <c r="G177" s="8">
        <v>1.66</v>
      </c>
      <c r="H177" s="511">
        <f t="shared" si="15"/>
        <v>0.43</v>
      </c>
      <c r="I177" s="14">
        <f t="shared" si="16"/>
        <v>2.09</v>
      </c>
      <c r="J177" s="15">
        <f t="shared" si="17"/>
        <v>486.55</v>
      </c>
      <c r="L177" s="510">
        <f t="shared" si="18"/>
        <v>386.45</v>
      </c>
      <c r="M177" s="510">
        <f t="shared" si="19"/>
        <v>486.55</v>
      </c>
    </row>
    <row r="178" spans="1:14" s="509" customFormat="1" ht="38.25" x14ac:dyDescent="0.25">
      <c r="A178" s="8" t="s">
        <v>75</v>
      </c>
      <c r="B178" s="9">
        <v>95875</v>
      </c>
      <c r="C178" s="9" t="s">
        <v>10</v>
      </c>
      <c r="D178" s="526" t="s">
        <v>35</v>
      </c>
      <c r="E178" s="9" t="s">
        <v>36</v>
      </c>
      <c r="F178" s="533">
        <f>MC!N84</f>
        <v>295.25</v>
      </c>
      <c r="G178" s="8">
        <v>1.66</v>
      </c>
      <c r="H178" s="511">
        <f t="shared" si="15"/>
        <v>0.43</v>
      </c>
      <c r="I178" s="14">
        <f t="shared" si="16"/>
        <v>2.09</v>
      </c>
      <c r="J178" s="15">
        <f t="shared" si="17"/>
        <v>617.07000000000005</v>
      </c>
      <c r="L178" s="510">
        <f t="shared" si="18"/>
        <v>490.12</v>
      </c>
      <c r="M178" s="510">
        <f t="shared" si="19"/>
        <v>617.07000000000005</v>
      </c>
    </row>
    <row r="179" spans="1:14" s="509" customFormat="1" ht="38.25" x14ac:dyDescent="0.25">
      <c r="A179" s="8" t="s">
        <v>86</v>
      </c>
      <c r="B179" s="9">
        <v>95875</v>
      </c>
      <c r="C179" s="9" t="s">
        <v>10</v>
      </c>
      <c r="D179" s="526" t="s">
        <v>35</v>
      </c>
      <c r="E179" s="9" t="s">
        <v>36</v>
      </c>
      <c r="F179" s="530">
        <f>MC!N108</f>
        <v>218.4</v>
      </c>
      <c r="G179" s="8">
        <v>1.66</v>
      </c>
      <c r="H179" s="511">
        <f t="shared" si="15"/>
        <v>0.43</v>
      </c>
      <c r="I179" s="14">
        <f t="shared" si="16"/>
        <v>2.09</v>
      </c>
      <c r="J179" s="15">
        <f t="shared" si="17"/>
        <v>456.46</v>
      </c>
      <c r="L179" s="510">
        <f t="shared" si="18"/>
        <v>362.54</v>
      </c>
      <c r="M179" s="510">
        <f t="shared" si="19"/>
        <v>456.46</v>
      </c>
    </row>
    <row r="180" spans="1:14" s="509" customFormat="1" ht="38.25" x14ac:dyDescent="0.25">
      <c r="A180" s="8" t="s">
        <v>97</v>
      </c>
      <c r="B180" s="9">
        <v>95875</v>
      </c>
      <c r="C180" s="9" t="s">
        <v>10</v>
      </c>
      <c r="D180" s="526" t="s">
        <v>35</v>
      </c>
      <c r="E180" s="9" t="s">
        <v>36</v>
      </c>
      <c r="F180" s="530">
        <f>MC!N131</f>
        <v>555.45000000000005</v>
      </c>
      <c r="G180" s="8">
        <v>1.66</v>
      </c>
      <c r="H180" s="511">
        <f t="shared" si="15"/>
        <v>0.43</v>
      </c>
      <c r="I180" s="14">
        <f t="shared" si="16"/>
        <v>2.09</v>
      </c>
      <c r="J180" s="15">
        <f t="shared" si="17"/>
        <v>1160.8900000000001</v>
      </c>
      <c r="L180" s="510">
        <f t="shared" si="18"/>
        <v>922.05</v>
      </c>
      <c r="M180" s="510">
        <f t="shared" si="19"/>
        <v>1160.8900000000001</v>
      </c>
    </row>
    <row r="181" spans="1:14" s="509" customFormat="1" ht="38.25" x14ac:dyDescent="0.25">
      <c r="A181" s="8" t="s">
        <v>107</v>
      </c>
      <c r="B181" s="9">
        <v>95875</v>
      </c>
      <c r="C181" s="9" t="s">
        <v>10</v>
      </c>
      <c r="D181" s="526" t="s">
        <v>35</v>
      </c>
      <c r="E181" s="9" t="s">
        <v>36</v>
      </c>
      <c r="F181" s="530">
        <f>MC!N154</f>
        <v>475.95</v>
      </c>
      <c r="G181" s="8">
        <v>1.66</v>
      </c>
      <c r="H181" s="511">
        <f t="shared" si="15"/>
        <v>0.43</v>
      </c>
      <c r="I181" s="14">
        <f t="shared" si="16"/>
        <v>2.09</v>
      </c>
      <c r="J181" s="15">
        <f t="shared" si="17"/>
        <v>994.74</v>
      </c>
      <c r="L181" s="510">
        <f t="shared" si="18"/>
        <v>790.08</v>
      </c>
      <c r="M181" s="510">
        <f t="shared" si="19"/>
        <v>994.74</v>
      </c>
    </row>
    <row r="182" spans="1:14" s="509" customFormat="1" ht="38.25" x14ac:dyDescent="0.25">
      <c r="A182" s="8" t="s">
        <v>117</v>
      </c>
      <c r="B182" s="9">
        <v>95875</v>
      </c>
      <c r="C182" s="9" t="s">
        <v>10</v>
      </c>
      <c r="D182" s="526" t="s">
        <v>35</v>
      </c>
      <c r="E182" s="9" t="s">
        <v>36</v>
      </c>
      <c r="F182" s="530">
        <f>MC!N215</f>
        <v>446.2</v>
      </c>
      <c r="G182" s="8">
        <v>1.66</v>
      </c>
      <c r="H182" s="511">
        <f t="shared" si="15"/>
        <v>0.43</v>
      </c>
      <c r="I182" s="14">
        <f t="shared" si="16"/>
        <v>2.09</v>
      </c>
      <c r="J182" s="15">
        <f t="shared" si="17"/>
        <v>932.56</v>
      </c>
      <c r="L182" s="510">
        <f t="shared" si="18"/>
        <v>740.69</v>
      </c>
      <c r="M182" s="510">
        <f t="shared" si="19"/>
        <v>932.56</v>
      </c>
    </row>
    <row r="183" spans="1:14" s="509" customFormat="1" ht="38.25" x14ac:dyDescent="0.25">
      <c r="A183" s="8" t="s">
        <v>127</v>
      </c>
      <c r="B183" s="9">
        <v>95875</v>
      </c>
      <c r="C183" s="9" t="s">
        <v>10</v>
      </c>
      <c r="D183" s="526" t="s">
        <v>35</v>
      </c>
      <c r="E183" s="9" t="s">
        <v>36</v>
      </c>
      <c r="F183" s="533">
        <f>MC!N239</f>
        <v>395.9</v>
      </c>
      <c r="G183" s="8">
        <v>1.66</v>
      </c>
      <c r="H183" s="511">
        <f t="shared" si="15"/>
        <v>0.43</v>
      </c>
      <c r="I183" s="14">
        <f t="shared" si="16"/>
        <v>2.09</v>
      </c>
      <c r="J183" s="15">
        <f t="shared" si="17"/>
        <v>827.43</v>
      </c>
      <c r="L183" s="510">
        <f t="shared" si="18"/>
        <v>657.19</v>
      </c>
      <c r="M183" s="510">
        <f t="shared" si="19"/>
        <v>827.43</v>
      </c>
      <c r="N183" s="515"/>
    </row>
    <row r="184" spans="1:14" s="509" customFormat="1" ht="38.25" x14ac:dyDescent="0.25">
      <c r="A184" s="8" t="s">
        <v>137</v>
      </c>
      <c r="B184" s="9">
        <v>95875</v>
      </c>
      <c r="C184" s="9" t="s">
        <v>10</v>
      </c>
      <c r="D184" s="526" t="s">
        <v>35</v>
      </c>
      <c r="E184" s="9" t="s">
        <v>36</v>
      </c>
      <c r="F184" s="530">
        <f>MC!N263</f>
        <v>707</v>
      </c>
      <c r="G184" s="8">
        <v>1.66</v>
      </c>
      <c r="H184" s="511">
        <f t="shared" si="15"/>
        <v>0.43</v>
      </c>
      <c r="I184" s="14">
        <f t="shared" si="16"/>
        <v>2.09</v>
      </c>
      <c r="J184" s="15">
        <f t="shared" si="17"/>
        <v>1477.63</v>
      </c>
      <c r="L184" s="510">
        <f t="shared" si="18"/>
        <v>1173.6199999999999</v>
      </c>
      <c r="M184" s="510">
        <f t="shared" si="19"/>
        <v>1477.63</v>
      </c>
    </row>
    <row r="185" spans="1:14" s="509" customFormat="1" ht="38.25" x14ac:dyDescent="0.25">
      <c r="A185" s="8" t="s">
        <v>147</v>
      </c>
      <c r="B185" s="9">
        <v>95875</v>
      </c>
      <c r="C185" s="9" t="s">
        <v>10</v>
      </c>
      <c r="D185" s="526" t="s">
        <v>35</v>
      </c>
      <c r="E185" s="9" t="s">
        <v>36</v>
      </c>
      <c r="F185" s="533">
        <f>MC!N327</f>
        <v>1507.25</v>
      </c>
      <c r="G185" s="8">
        <v>1.66</v>
      </c>
      <c r="H185" s="511">
        <f t="shared" si="15"/>
        <v>0.43</v>
      </c>
      <c r="I185" s="14">
        <f t="shared" si="16"/>
        <v>2.09</v>
      </c>
      <c r="J185" s="15">
        <f t="shared" si="17"/>
        <v>3150.15</v>
      </c>
      <c r="L185" s="510">
        <f t="shared" si="18"/>
        <v>2502.04</v>
      </c>
      <c r="M185" s="510">
        <f t="shared" si="19"/>
        <v>3150.15</v>
      </c>
    </row>
    <row r="186" spans="1:14" s="509" customFormat="1" ht="38.25" x14ac:dyDescent="0.25">
      <c r="A186" s="8" t="s">
        <v>157</v>
      </c>
      <c r="B186" s="9">
        <v>95875</v>
      </c>
      <c r="C186" s="9" t="s">
        <v>10</v>
      </c>
      <c r="D186" s="526" t="s">
        <v>35</v>
      </c>
      <c r="E186" s="9" t="s">
        <v>36</v>
      </c>
      <c r="F186" s="533">
        <f>MC!N350</f>
        <v>446.65</v>
      </c>
      <c r="G186" s="8">
        <v>1.66</v>
      </c>
      <c r="H186" s="511">
        <f t="shared" si="15"/>
        <v>0.43</v>
      </c>
      <c r="I186" s="14">
        <f t="shared" si="16"/>
        <v>2.09</v>
      </c>
      <c r="J186" s="15">
        <f t="shared" si="17"/>
        <v>933.5</v>
      </c>
      <c r="L186" s="510">
        <f t="shared" si="18"/>
        <v>741.44</v>
      </c>
      <c r="M186" s="510">
        <f t="shared" si="19"/>
        <v>933.5</v>
      </c>
    </row>
    <row r="187" spans="1:14" s="509" customFormat="1" ht="38.25" x14ac:dyDescent="0.25">
      <c r="A187" s="8" t="s">
        <v>168</v>
      </c>
      <c r="B187" s="9">
        <v>95875</v>
      </c>
      <c r="C187" s="440" t="s">
        <v>10</v>
      </c>
      <c r="D187" s="526" t="s">
        <v>35</v>
      </c>
      <c r="E187" s="436" t="s">
        <v>36</v>
      </c>
      <c r="F187" s="530">
        <f>MC!N374</f>
        <v>1002.2</v>
      </c>
      <c r="G187" s="8">
        <v>1.66</v>
      </c>
      <c r="H187" s="511">
        <f t="shared" si="15"/>
        <v>0.43</v>
      </c>
      <c r="I187" s="14">
        <f t="shared" si="16"/>
        <v>2.09</v>
      </c>
      <c r="J187" s="15">
        <f t="shared" si="17"/>
        <v>2094.6</v>
      </c>
      <c r="L187" s="510">
        <f t="shared" si="18"/>
        <v>1663.65</v>
      </c>
      <c r="M187" s="510">
        <f t="shared" si="19"/>
        <v>2094.6</v>
      </c>
    </row>
    <row r="188" spans="1:14" s="509" customFormat="1" ht="38.25" x14ac:dyDescent="0.25">
      <c r="A188" s="8" t="s">
        <v>319</v>
      </c>
      <c r="B188" s="9">
        <v>95875</v>
      </c>
      <c r="C188" s="9" t="s">
        <v>10</v>
      </c>
      <c r="D188" s="526" t="s">
        <v>35</v>
      </c>
      <c r="E188" s="9" t="s">
        <v>36</v>
      </c>
      <c r="F188" s="530">
        <f>MC!N439</f>
        <v>1831.8</v>
      </c>
      <c r="G188" s="8">
        <v>1.66</v>
      </c>
      <c r="H188" s="511">
        <f t="shared" si="15"/>
        <v>0.43</v>
      </c>
      <c r="I188" s="14">
        <f t="shared" si="16"/>
        <v>2.09</v>
      </c>
      <c r="J188" s="15">
        <f t="shared" si="17"/>
        <v>3828.46</v>
      </c>
      <c r="K188" s="515"/>
      <c r="L188" s="510">
        <f t="shared" si="18"/>
        <v>3040.79</v>
      </c>
      <c r="M188" s="510">
        <f t="shared" si="19"/>
        <v>3828.46</v>
      </c>
    </row>
    <row r="189" spans="1:14" s="509" customFormat="1" ht="38.25" x14ac:dyDescent="0.25">
      <c r="A189" s="9" t="s">
        <v>333</v>
      </c>
      <c r="B189" s="435">
        <v>95875</v>
      </c>
      <c r="C189" s="436" t="s">
        <v>10</v>
      </c>
      <c r="D189" s="526" t="s">
        <v>35</v>
      </c>
      <c r="E189" s="9" t="s">
        <v>36</v>
      </c>
      <c r="F189" s="531">
        <f>MC!N471</f>
        <v>87.5</v>
      </c>
      <c r="G189" s="8">
        <v>1.66</v>
      </c>
      <c r="H189" s="508">
        <f t="shared" si="15"/>
        <v>0.43</v>
      </c>
      <c r="I189" s="256">
        <f t="shared" si="16"/>
        <v>2.09</v>
      </c>
      <c r="J189" s="257">
        <f t="shared" si="17"/>
        <v>182.88</v>
      </c>
      <c r="L189" s="510">
        <f t="shared" si="18"/>
        <v>145.25</v>
      </c>
      <c r="M189" s="510">
        <f t="shared" si="19"/>
        <v>182.88</v>
      </c>
    </row>
    <row r="190" spans="1:14" s="509" customFormat="1" ht="38.25" x14ac:dyDescent="0.25">
      <c r="A190" s="9" t="s">
        <v>352</v>
      </c>
      <c r="B190" s="9">
        <v>95875</v>
      </c>
      <c r="C190" s="9" t="s">
        <v>10</v>
      </c>
      <c r="D190" s="526" t="s">
        <v>35</v>
      </c>
      <c r="E190" s="9" t="s">
        <v>36</v>
      </c>
      <c r="F190" s="531">
        <f>MC!N537</f>
        <v>87.5</v>
      </c>
      <c r="G190" s="8">
        <v>1.66</v>
      </c>
      <c r="H190" s="508">
        <f t="shared" si="15"/>
        <v>0.43</v>
      </c>
      <c r="I190" s="256">
        <f t="shared" si="16"/>
        <v>2.09</v>
      </c>
      <c r="J190" s="257">
        <f t="shared" si="17"/>
        <v>182.88</v>
      </c>
      <c r="L190" s="510">
        <f t="shared" si="18"/>
        <v>145.25</v>
      </c>
      <c r="M190" s="510">
        <f t="shared" si="19"/>
        <v>182.88</v>
      </c>
    </row>
    <row r="191" spans="1:14" s="509" customFormat="1" ht="38.25" x14ac:dyDescent="0.25">
      <c r="A191" s="9" t="s">
        <v>371</v>
      </c>
      <c r="B191" s="9">
        <v>95875</v>
      </c>
      <c r="C191" s="9" t="s">
        <v>10</v>
      </c>
      <c r="D191" s="526" t="s">
        <v>35</v>
      </c>
      <c r="E191" s="9" t="s">
        <v>36</v>
      </c>
      <c r="F191" s="531">
        <f>MC!N598</f>
        <v>1270</v>
      </c>
      <c r="G191" s="8">
        <v>1.66</v>
      </c>
      <c r="H191" s="508">
        <f t="shared" si="15"/>
        <v>0.43</v>
      </c>
      <c r="I191" s="256">
        <f t="shared" si="16"/>
        <v>2.09</v>
      </c>
      <c r="J191" s="257">
        <f t="shared" si="17"/>
        <v>2654.3</v>
      </c>
      <c r="L191" s="510">
        <f t="shared" si="18"/>
        <v>2108.1999999999998</v>
      </c>
      <c r="M191" s="510">
        <f t="shared" si="19"/>
        <v>2654.3</v>
      </c>
    </row>
    <row r="192" spans="1:14" s="509" customFormat="1" ht="38.25" x14ac:dyDescent="0.25">
      <c r="A192" s="9" t="s">
        <v>381</v>
      </c>
      <c r="B192" s="9">
        <v>95875</v>
      </c>
      <c r="C192" s="9" t="s">
        <v>10</v>
      </c>
      <c r="D192" s="526" t="s">
        <v>35</v>
      </c>
      <c r="E192" s="9" t="s">
        <v>36</v>
      </c>
      <c r="F192" s="531">
        <f>MC!N662</f>
        <v>435.25</v>
      </c>
      <c r="G192" s="8">
        <v>1.66</v>
      </c>
      <c r="H192" s="508">
        <f t="shared" si="15"/>
        <v>0.43</v>
      </c>
      <c r="I192" s="256">
        <f t="shared" si="16"/>
        <v>2.09</v>
      </c>
      <c r="J192" s="257">
        <f t="shared" si="17"/>
        <v>909.67</v>
      </c>
      <c r="L192" s="510">
        <f t="shared" si="18"/>
        <v>722.52</v>
      </c>
      <c r="M192" s="510">
        <f t="shared" si="19"/>
        <v>909.67</v>
      </c>
    </row>
    <row r="193" spans="1:13" s="509" customFormat="1" ht="38.25" x14ac:dyDescent="0.25">
      <c r="A193" s="9" t="s">
        <v>391</v>
      </c>
      <c r="B193" s="9">
        <v>95875</v>
      </c>
      <c r="C193" s="9" t="s">
        <v>10</v>
      </c>
      <c r="D193" s="526" t="s">
        <v>35</v>
      </c>
      <c r="E193" s="9" t="s">
        <v>36</v>
      </c>
      <c r="F193" s="531">
        <f>MC!N685</f>
        <v>435.25</v>
      </c>
      <c r="G193" s="8">
        <v>1.66</v>
      </c>
      <c r="H193" s="508">
        <f t="shared" si="15"/>
        <v>0.43</v>
      </c>
      <c r="I193" s="256">
        <f t="shared" si="16"/>
        <v>2.09</v>
      </c>
      <c r="J193" s="257">
        <f t="shared" si="17"/>
        <v>909.67</v>
      </c>
      <c r="L193" s="510">
        <f t="shared" si="18"/>
        <v>722.52</v>
      </c>
      <c r="M193" s="510">
        <f t="shared" si="19"/>
        <v>909.67</v>
      </c>
    </row>
    <row r="194" spans="1:13" s="509" customFormat="1" ht="38.25" x14ac:dyDescent="0.25">
      <c r="A194" s="9" t="s">
        <v>646</v>
      </c>
      <c r="B194" s="9">
        <v>95875</v>
      </c>
      <c r="C194" s="9" t="s">
        <v>10</v>
      </c>
      <c r="D194" s="526" t="s">
        <v>35</v>
      </c>
      <c r="E194" s="9" t="s">
        <v>36</v>
      </c>
      <c r="F194" s="531">
        <f>MC!N752</f>
        <v>605.15</v>
      </c>
      <c r="G194" s="8">
        <v>1.66</v>
      </c>
      <c r="H194" s="508">
        <f t="shared" si="15"/>
        <v>0.43</v>
      </c>
      <c r="I194" s="256">
        <f t="shared" si="16"/>
        <v>2.09</v>
      </c>
      <c r="J194" s="257">
        <f t="shared" si="17"/>
        <v>1264.76</v>
      </c>
      <c r="L194" s="510">
        <f t="shared" si="18"/>
        <v>1004.55</v>
      </c>
      <c r="M194" s="510">
        <f t="shared" si="19"/>
        <v>1264.76</v>
      </c>
    </row>
    <row r="195" spans="1:13" s="509" customFormat="1" ht="63.75" x14ac:dyDescent="0.25">
      <c r="A195" s="8" t="s">
        <v>69</v>
      </c>
      <c r="B195" s="8">
        <v>94273</v>
      </c>
      <c r="C195" s="8" t="s">
        <v>10</v>
      </c>
      <c r="D195" s="346" t="s">
        <v>49</v>
      </c>
      <c r="E195" s="8" t="s">
        <v>42</v>
      </c>
      <c r="F195" s="533">
        <f>MC!N73</f>
        <v>111.72</v>
      </c>
      <c r="G195" s="487">
        <v>49.52</v>
      </c>
      <c r="H195" s="511">
        <f t="shared" si="15"/>
        <v>12.94</v>
      </c>
      <c r="I195" s="14">
        <f t="shared" si="16"/>
        <v>62.46</v>
      </c>
      <c r="J195" s="15">
        <f t="shared" si="17"/>
        <v>6978.03</v>
      </c>
      <c r="L195" s="510">
        <f t="shared" si="18"/>
        <v>5532.37</v>
      </c>
      <c r="M195" s="510">
        <f t="shared" si="19"/>
        <v>6978.03</v>
      </c>
    </row>
    <row r="196" spans="1:13" s="509" customFormat="1" ht="63.75" x14ac:dyDescent="0.25">
      <c r="A196" s="8" t="s">
        <v>80</v>
      </c>
      <c r="B196" s="8">
        <v>94273</v>
      </c>
      <c r="C196" s="8" t="s">
        <v>10</v>
      </c>
      <c r="D196" s="346" t="s">
        <v>49</v>
      </c>
      <c r="E196" s="8" t="s">
        <v>42</v>
      </c>
      <c r="F196" s="533">
        <f>MC!N97</f>
        <v>147.53</v>
      </c>
      <c r="G196" s="487">
        <v>49.52</v>
      </c>
      <c r="H196" s="511">
        <f t="shared" si="15"/>
        <v>12.94</v>
      </c>
      <c r="I196" s="14">
        <f t="shared" si="16"/>
        <v>62.46</v>
      </c>
      <c r="J196" s="15">
        <f t="shared" si="17"/>
        <v>9214.7199999999993</v>
      </c>
      <c r="L196" s="510">
        <f t="shared" si="18"/>
        <v>7305.69</v>
      </c>
      <c r="M196" s="510">
        <f t="shared" si="19"/>
        <v>9214.7199999999993</v>
      </c>
    </row>
    <row r="197" spans="1:13" s="509" customFormat="1" ht="63.75" x14ac:dyDescent="0.25">
      <c r="A197" s="8" t="s">
        <v>91</v>
      </c>
      <c r="B197" s="8">
        <v>94273</v>
      </c>
      <c r="C197" s="8" t="s">
        <v>10</v>
      </c>
      <c r="D197" s="346" t="s">
        <v>49</v>
      </c>
      <c r="E197" s="8" t="s">
        <v>42</v>
      </c>
      <c r="F197" s="530">
        <f>MC!N120</f>
        <v>184.9</v>
      </c>
      <c r="G197" s="487">
        <v>49.52</v>
      </c>
      <c r="H197" s="511">
        <f t="shared" si="15"/>
        <v>12.94</v>
      </c>
      <c r="I197" s="14">
        <f t="shared" si="16"/>
        <v>62.46</v>
      </c>
      <c r="J197" s="15">
        <f t="shared" si="17"/>
        <v>11548.85</v>
      </c>
      <c r="L197" s="510">
        <f t="shared" si="18"/>
        <v>9156.25</v>
      </c>
      <c r="M197" s="510">
        <f t="shared" si="19"/>
        <v>11548.85</v>
      </c>
    </row>
    <row r="198" spans="1:13" s="509" customFormat="1" ht="63.75" x14ac:dyDescent="0.25">
      <c r="A198" s="8" t="s">
        <v>102</v>
      </c>
      <c r="B198" s="8">
        <v>94273</v>
      </c>
      <c r="C198" s="8" t="s">
        <v>10</v>
      </c>
      <c r="D198" s="346" t="s">
        <v>49</v>
      </c>
      <c r="E198" s="8" t="s">
        <v>42</v>
      </c>
      <c r="F198" s="530">
        <f>MC!N143</f>
        <v>238.5</v>
      </c>
      <c r="G198" s="487">
        <v>49.52</v>
      </c>
      <c r="H198" s="511">
        <f t="shared" si="15"/>
        <v>12.94</v>
      </c>
      <c r="I198" s="14">
        <f t="shared" si="16"/>
        <v>62.46</v>
      </c>
      <c r="J198" s="15">
        <f t="shared" si="17"/>
        <v>14896.71</v>
      </c>
      <c r="L198" s="510">
        <f t="shared" si="18"/>
        <v>11810.52</v>
      </c>
      <c r="M198" s="510">
        <f t="shared" si="19"/>
        <v>14896.71</v>
      </c>
    </row>
    <row r="199" spans="1:13" s="509" customFormat="1" ht="63.75" x14ac:dyDescent="0.25">
      <c r="A199" s="8" t="s">
        <v>112</v>
      </c>
      <c r="B199" s="8">
        <v>94273</v>
      </c>
      <c r="C199" s="8" t="s">
        <v>10</v>
      </c>
      <c r="D199" s="346" t="s">
        <v>49</v>
      </c>
      <c r="E199" s="8" t="s">
        <v>42</v>
      </c>
      <c r="F199" s="533">
        <f>MC!N167</f>
        <v>434.48</v>
      </c>
      <c r="G199" s="487">
        <v>49.52</v>
      </c>
      <c r="H199" s="511">
        <f t="shared" si="15"/>
        <v>12.94</v>
      </c>
      <c r="I199" s="14">
        <f t="shared" si="16"/>
        <v>62.46</v>
      </c>
      <c r="J199" s="15">
        <f t="shared" si="17"/>
        <v>27137.62</v>
      </c>
      <c r="L199" s="510">
        <f t="shared" si="18"/>
        <v>21515.45</v>
      </c>
      <c r="M199" s="510">
        <f t="shared" si="19"/>
        <v>27137.62</v>
      </c>
    </row>
    <row r="200" spans="1:13" s="509" customFormat="1" ht="63.75" x14ac:dyDescent="0.25">
      <c r="A200" s="8" t="s">
        <v>122</v>
      </c>
      <c r="B200" s="8">
        <v>94273</v>
      </c>
      <c r="C200" s="8" t="s">
        <v>10</v>
      </c>
      <c r="D200" s="346" t="s">
        <v>49</v>
      </c>
      <c r="E200" s="8" t="s">
        <v>42</v>
      </c>
      <c r="F200" s="530">
        <f>MC!N228</f>
        <v>250.04</v>
      </c>
      <c r="G200" s="487">
        <v>49.52</v>
      </c>
      <c r="H200" s="511">
        <f t="shared" si="15"/>
        <v>12.94</v>
      </c>
      <c r="I200" s="14">
        <f t="shared" si="16"/>
        <v>62.46</v>
      </c>
      <c r="J200" s="15">
        <f t="shared" si="17"/>
        <v>15617.5</v>
      </c>
      <c r="L200" s="510">
        <f t="shared" si="18"/>
        <v>12381.98</v>
      </c>
      <c r="M200" s="510">
        <f t="shared" si="19"/>
        <v>15617.5</v>
      </c>
    </row>
    <row r="201" spans="1:13" s="509" customFormat="1" ht="63.75" x14ac:dyDescent="0.25">
      <c r="A201" s="8" t="s">
        <v>132</v>
      </c>
      <c r="B201" s="8">
        <v>94273</v>
      </c>
      <c r="C201" s="8" t="s">
        <v>10</v>
      </c>
      <c r="D201" s="346" t="s">
        <v>49</v>
      </c>
      <c r="E201" s="8" t="s">
        <v>42</v>
      </c>
      <c r="F201" s="530">
        <f>MC!N252</f>
        <v>266.66000000000003</v>
      </c>
      <c r="G201" s="487">
        <v>49.52</v>
      </c>
      <c r="H201" s="511">
        <f t="shared" ref="H201:H250" si="20">ROUND(G201*$G$5,2)</f>
        <v>12.94</v>
      </c>
      <c r="I201" s="14">
        <f t="shared" ref="I201:I250" si="21">ROUND(G201+H201,2)</f>
        <v>62.46</v>
      </c>
      <c r="J201" s="15">
        <f t="shared" ref="J201:J250" si="22">ROUND(I201*F201,2)</f>
        <v>16655.580000000002</v>
      </c>
      <c r="L201" s="510">
        <f t="shared" si="18"/>
        <v>13205</v>
      </c>
      <c r="M201" s="510">
        <f t="shared" si="19"/>
        <v>16655.580000000002</v>
      </c>
    </row>
    <row r="202" spans="1:13" s="509" customFormat="1" ht="63.75" x14ac:dyDescent="0.25">
      <c r="A202" s="8" t="s">
        <v>142</v>
      </c>
      <c r="B202" s="8">
        <v>94273</v>
      </c>
      <c r="C202" s="8" t="s">
        <v>10</v>
      </c>
      <c r="D202" s="346" t="s">
        <v>49</v>
      </c>
      <c r="E202" s="8" t="s">
        <v>42</v>
      </c>
      <c r="F202" s="530">
        <f>MC!N275</f>
        <v>376.8</v>
      </c>
      <c r="G202" s="487">
        <v>49.52</v>
      </c>
      <c r="H202" s="511">
        <f t="shared" si="20"/>
        <v>12.94</v>
      </c>
      <c r="I202" s="14">
        <f t="shared" si="21"/>
        <v>62.46</v>
      </c>
      <c r="J202" s="15">
        <f t="shared" si="22"/>
        <v>23534.93</v>
      </c>
      <c r="L202" s="510">
        <f t="shared" si="18"/>
        <v>18659.14</v>
      </c>
      <c r="M202" s="510">
        <f t="shared" si="19"/>
        <v>23534.93</v>
      </c>
    </row>
    <row r="203" spans="1:13" s="509" customFormat="1" ht="63.75" x14ac:dyDescent="0.25">
      <c r="A203" s="8" t="s">
        <v>152</v>
      </c>
      <c r="B203" s="8">
        <v>94273</v>
      </c>
      <c r="C203" s="8" t="s">
        <v>10</v>
      </c>
      <c r="D203" s="346" t="s">
        <v>49</v>
      </c>
      <c r="E203" s="8" t="s">
        <v>42</v>
      </c>
      <c r="F203" s="533">
        <f>MC!N339</f>
        <v>681.72</v>
      </c>
      <c r="G203" s="487">
        <v>49.52</v>
      </c>
      <c r="H203" s="511">
        <f t="shared" si="20"/>
        <v>12.94</v>
      </c>
      <c r="I203" s="14">
        <f t="shared" si="21"/>
        <v>62.46</v>
      </c>
      <c r="J203" s="15">
        <f t="shared" si="22"/>
        <v>42580.23</v>
      </c>
      <c r="L203" s="510">
        <f t="shared" si="18"/>
        <v>33758.769999999997</v>
      </c>
      <c r="M203" s="510">
        <f t="shared" si="19"/>
        <v>42580.23</v>
      </c>
    </row>
    <row r="204" spans="1:13" s="509" customFormat="1" ht="63.75" x14ac:dyDescent="0.25">
      <c r="A204" s="8" t="s">
        <v>163</v>
      </c>
      <c r="B204" s="8">
        <v>94273</v>
      </c>
      <c r="C204" s="8" t="s">
        <v>10</v>
      </c>
      <c r="D204" s="346" t="s">
        <v>49</v>
      </c>
      <c r="E204" s="8" t="s">
        <v>42</v>
      </c>
      <c r="F204" s="533">
        <f>MC!N363</f>
        <v>222.96</v>
      </c>
      <c r="G204" s="487">
        <v>49.52</v>
      </c>
      <c r="H204" s="511">
        <f t="shared" si="20"/>
        <v>12.94</v>
      </c>
      <c r="I204" s="14">
        <f t="shared" si="21"/>
        <v>62.46</v>
      </c>
      <c r="J204" s="15">
        <f t="shared" si="22"/>
        <v>13926.08</v>
      </c>
      <c r="L204" s="510">
        <f t="shared" si="18"/>
        <v>11040.98</v>
      </c>
      <c r="M204" s="510">
        <f t="shared" si="19"/>
        <v>13926.08</v>
      </c>
    </row>
    <row r="205" spans="1:13" s="509" customFormat="1" ht="63.75" x14ac:dyDescent="0.25">
      <c r="A205" s="8" t="s">
        <v>173</v>
      </c>
      <c r="B205" s="8">
        <v>94273</v>
      </c>
      <c r="C205" s="8" t="s">
        <v>10</v>
      </c>
      <c r="D205" s="346" t="s">
        <v>49</v>
      </c>
      <c r="E205" s="8" t="s">
        <v>42</v>
      </c>
      <c r="F205" s="530">
        <f>MC!N387</f>
        <v>623.36</v>
      </c>
      <c r="G205" s="487">
        <v>49.52</v>
      </c>
      <c r="H205" s="511">
        <f t="shared" si="20"/>
        <v>12.94</v>
      </c>
      <c r="I205" s="14">
        <f t="shared" si="21"/>
        <v>62.46</v>
      </c>
      <c r="J205" s="15">
        <f t="shared" si="22"/>
        <v>38935.07</v>
      </c>
      <c r="L205" s="510">
        <f t="shared" si="18"/>
        <v>30868.79</v>
      </c>
      <c r="M205" s="510">
        <f t="shared" si="19"/>
        <v>38935.07</v>
      </c>
    </row>
    <row r="206" spans="1:13" s="509" customFormat="1" ht="63.75" x14ac:dyDescent="0.25">
      <c r="A206" s="8" t="s">
        <v>324</v>
      </c>
      <c r="B206" s="8">
        <v>94273</v>
      </c>
      <c r="C206" s="8" t="s">
        <v>10</v>
      </c>
      <c r="D206" s="346" t="s">
        <v>49</v>
      </c>
      <c r="E206" s="8" t="s">
        <v>42</v>
      </c>
      <c r="F206" s="530">
        <f>MC!N452</f>
        <v>1039.29</v>
      </c>
      <c r="G206" s="487">
        <v>49.52</v>
      </c>
      <c r="H206" s="511">
        <f t="shared" si="20"/>
        <v>12.94</v>
      </c>
      <c r="I206" s="14">
        <f t="shared" si="21"/>
        <v>62.46</v>
      </c>
      <c r="J206" s="15">
        <f t="shared" si="22"/>
        <v>64914.05</v>
      </c>
      <c r="L206" s="510">
        <f t="shared" si="18"/>
        <v>51465.64</v>
      </c>
      <c r="M206" s="510">
        <f t="shared" si="19"/>
        <v>64914.05</v>
      </c>
    </row>
    <row r="207" spans="1:13" s="509" customFormat="1" ht="63.75" x14ac:dyDescent="0.25">
      <c r="A207" s="9" t="s">
        <v>338</v>
      </c>
      <c r="B207" s="9">
        <v>94273</v>
      </c>
      <c r="C207" s="440" t="s">
        <v>10</v>
      </c>
      <c r="D207" s="56" t="s">
        <v>49</v>
      </c>
      <c r="E207" s="436" t="s">
        <v>42</v>
      </c>
      <c r="F207" s="531">
        <f>MC!N484</f>
        <v>2885.29</v>
      </c>
      <c r="G207" s="487">
        <v>49.52</v>
      </c>
      <c r="H207" s="508">
        <f t="shared" si="20"/>
        <v>12.94</v>
      </c>
      <c r="I207" s="256">
        <f t="shared" si="21"/>
        <v>62.46</v>
      </c>
      <c r="J207" s="257">
        <f t="shared" si="22"/>
        <v>180215.21</v>
      </c>
      <c r="L207" s="510">
        <f t="shared" si="18"/>
        <v>142879.56</v>
      </c>
      <c r="M207" s="510">
        <f t="shared" si="19"/>
        <v>180215.21</v>
      </c>
    </row>
    <row r="208" spans="1:13" s="509" customFormat="1" ht="63.75" x14ac:dyDescent="0.25">
      <c r="A208" s="9" t="s">
        <v>357</v>
      </c>
      <c r="B208" s="9">
        <v>94273</v>
      </c>
      <c r="C208" s="9" t="s">
        <v>10</v>
      </c>
      <c r="D208" s="56" t="s">
        <v>49</v>
      </c>
      <c r="E208" s="9" t="s">
        <v>42</v>
      </c>
      <c r="F208" s="531">
        <f>MC!N550</f>
        <v>478.1</v>
      </c>
      <c r="G208" s="487">
        <v>49.52</v>
      </c>
      <c r="H208" s="508">
        <f t="shared" si="20"/>
        <v>12.94</v>
      </c>
      <c r="I208" s="256">
        <f t="shared" si="21"/>
        <v>62.46</v>
      </c>
      <c r="J208" s="257">
        <f t="shared" si="22"/>
        <v>29862.13</v>
      </c>
      <c r="K208" s="515"/>
      <c r="L208" s="510">
        <f t="shared" si="18"/>
        <v>23675.51</v>
      </c>
      <c r="M208" s="510">
        <f t="shared" si="19"/>
        <v>29862.13</v>
      </c>
    </row>
    <row r="209" spans="1:14" s="509" customFormat="1" ht="63.75" x14ac:dyDescent="0.25">
      <c r="A209" s="9" t="s">
        <v>376</v>
      </c>
      <c r="B209" s="435">
        <v>94273</v>
      </c>
      <c r="C209" s="436" t="s">
        <v>10</v>
      </c>
      <c r="D209" s="56" t="s">
        <v>49</v>
      </c>
      <c r="E209" s="9" t="s">
        <v>42</v>
      </c>
      <c r="F209" s="531">
        <f>MC!N611</f>
        <v>844.18</v>
      </c>
      <c r="G209" s="487">
        <v>49.52</v>
      </c>
      <c r="H209" s="508">
        <f t="shared" si="20"/>
        <v>12.94</v>
      </c>
      <c r="I209" s="256">
        <f t="shared" si="21"/>
        <v>62.46</v>
      </c>
      <c r="J209" s="257">
        <f t="shared" si="22"/>
        <v>52727.48</v>
      </c>
      <c r="K209" s="515"/>
      <c r="L209" s="510">
        <f t="shared" si="18"/>
        <v>41803.79</v>
      </c>
      <c r="M209" s="510">
        <f t="shared" si="19"/>
        <v>52727.48</v>
      </c>
    </row>
    <row r="210" spans="1:14" s="509" customFormat="1" ht="63.75" x14ac:dyDescent="0.25">
      <c r="A210" s="9" t="s">
        <v>386</v>
      </c>
      <c r="B210" s="9">
        <v>94273</v>
      </c>
      <c r="C210" s="9" t="s">
        <v>10</v>
      </c>
      <c r="D210" s="56" t="s">
        <v>49</v>
      </c>
      <c r="E210" s="9" t="s">
        <v>42</v>
      </c>
      <c r="F210" s="531">
        <f>MC!N674</f>
        <v>290.05</v>
      </c>
      <c r="G210" s="487">
        <v>49.52</v>
      </c>
      <c r="H210" s="508">
        <f t="shared" si="20"/>
        <v>12.94</v>
      </c>
      <c r="I210" s="256">
        <f t="shared" si="21"/>
        <v>62.46</v>
      </c>
      <c r="J210" s="257">
        <f t="shared" si="22"/>
        <v>18116.52</v>
      </c>
      <c r="L210" s="510">
        <f t="shared" si="18"/>
        <v>14363.28</v>
      </c>
      <c r="M210" s="510">
        <f t="shared" si="19"/>
        <v>18116.52</v>
      </c>
    </row>
    <row r="211" spans="1:14" s="509" customFormat="1" ht="63.75" x14ac:dyDescent="0.25">
      <c r="A211" s="9" t="s">
        <v>396</v>
      </c>
      <c r="B211" s="9">
        <v>94273</v>
      </c>
      <c r="C211" s="9" t="s">
        <v>10</v>
      </c>
      <c r="D211" s="56" t="s">
        <v>49</v>
      </c>
      <c r="E211" s="9" t="s">
        <v>42</v>
      </c>
      <c r="F211" s="531">
        <f>MC!N697</f>
        <v>335.93</v>
      </c>
      <c r="G211" s="426">
        <v>49.52</v>
      </c>
      <c r="H211" s="508">
        <f t="shared" si="20"/>
        <v>12.94</v>
      </c>
      <c r="I211" s="256">
        <f t="shared" si="21"/>
        <v>62.46</v>
      </c>
      <c r="J211" s="257">
        <f t="shared" si="22"/>
        <v>20982.19</v>
      </c>
      <c r="L211" s="510">
        <f t="shared" si="18"/>
        <v>16635.25</v>
      </c>
      <c r="M211" s="510">
        <f t="shared" si="19"/>
        <v>20982.19</v>
      </c>
      <c r="N211" s="515"/>
    </row>
    <row r="212" spans="1:14" s="509" customFormat="1" ht="63.75" x14ac:dyDescent="0.25">
      <c r="A212" s="9" t="s">
        <v>651</v>
      </c>
      <c r="B212" s="9">
        <v>94273</v>
      </c>
      <c r="C212" s="9" t="s">
        <v>10</v>
      </c>
      <c r="D212" s="56" t="s">
        <v>49</v>
      </c>
      <c r="E212" s="9" t="s">
        <v>42</v>
      </c>
      <c r="F212" s="531">
        <f>MC!N765</f>
        <v>389.22</v>
      </c>
      <c r="G212" s="487">
        <v>49.52</v>
      </c>
      <c r="H212" s="508">
        <f t="shared" si="20"/>
        <v>12.94</v>
      </c>
      <c r="I212" s="256">
        <f t="shared" si="21"/>
        <v>62.46</v>
      </c>
      <c r="J212" s="257">
        <f t="shared" si="22"/>
        <v>24310.68</v>
      </c>
      <c r="L212" s="510">
        <f t="shared" si="18"/>
        <v>19274.169999999998</v>
      </c>
      <c r="M212" s="510">
        <f t="shared" si="19"/>
        <v>24310.68</v>
      </c>
    </row>
    <row r="213" spans="1:14" s="509" customFormat="1" ht="26.25" x14ac:dyDescent="0.25">
      <c r="A213" s="9" t="s">
        <v>593</v>
      </c>
      <c r="B213" s="549">
        <v>93382</v>
      </c>
      <c r="C213" s="9" t="s">
        <v>10</v>
      </c>
      <c r="D213" s="342" t="s">
        <v>271</v>
      </c>
      <c r="E213" s="9" t="s">
        <v>34</v>
      </c>
      <c r="F213" s="553">
        <f>MC!N186</f>
        <v>76.48</v>
      </c>
      <c r="G213" s="9">
        <v>20.77</v>
      </c>
      <c r="H213" s="508">
        <f t="shared" si="20"/>
        <v>5.43</v>
      </c>
      <c r="I213" s="256">
        <f t="shared" si="21"/>
        <v>26.2</v>
      </c>
      <c r="J213" s="257">
        <f t="shared" si="22"/>
        <v>2003.78</v>
      </c>
      <c r="K213" s="518">
        <f>ROUND(SUM(J213:J220),2)</f>
        <v>41782.730000000003</v>
      </c>
      <c r="L213" s="510">
        <f t="shared" si="18"/>
        <v>1588.49</v>
      </c>
      <c r="M213" s="510">
        <f t="shared" si="19"/>
        <v>2003.78</v>
      </c>
    </row>
    <row r="214" spans="1:14" s="509" customFormat="1" ht="26.25" x14ac:dyDescent="0.25">
      <c r="A214" s="9" t="s">
        <v>607</v>
      </c>
      <c r="B214" s="549">
        <v>93382</v>
      </c>
      <c r="C214" s="440" t="s">
        <v>10</v>
      </c>
      <c r="D214" s="342" t="s">
        <v>271</v>
      </c>
      <c r="E214" s="436" t="s">
        <v>34</v>
      </c>
      <c r="F214" s="553">
        <f>MC!N295</f>
        <v>35.299999999999997</v>
      </c>
      <c r="G214" s="9">
        <v>20.77</v>
      </c>
      <c r="H214" s="508">
        <f t="shared" si="20"/>
        <v>5.43</v>
      </c>
      <c r="I214" s="256">
        <f t="shared" si="21"/>
        <v>26.2</v>
      </c>
      <c r="J214" s="257">
        <f t="shared" si="22"/>
        <v>924.86</v>
      </c>
      <c r="L214" s="510">
        <f t="shared" si="18"/>
        <v>733.18</v>
      </c>
      <c r="M214" s="510">
        <f t="shared" si="19"/>
        <v>924.86</v>
      </c>
    </row>
    <row r="215" spans="1:14" s="509" customFormat="1" ht="26.25" x14ac:dyDescent="0.25">
      <c r="A215" s="8" t="s">
        <v>618</v>
      </c>
      <c r="B215" s="549">
        <v>93382</v>
      </c>
      <c r="C215" s="9" t="s">
        <v>10</v>
      </c>
      <c r="D215" s="342" t="s">
        <v>271</v>
      </c>
      <c r="E215" s="9" t="s">
        <v>34</v>
      </c>
      <c r="F215" s="552">
        <f>MC!N406</f>
        <v>29.35</v>
      </c>
      <c r="G215" s="8">
        <v>20.77</v>
      </c>
      <c r="H215" s="511">
        <f t="shared" si="20"/>
        <v>5.43</v>
      </c>
      <c r="I215" s="14">
        <f t="shared" si="21"/>
        <v>26.2</v>
      </c>
      <c r="J215" s="15">
        <f t="shared" si="22"/>
        <v>768.97</v>
      </c>
      <c r="K215" s="515"/>
      <c r="L215" s="510">
        <f t="shared" si="18"/>
        <v>609.6</v>
      </c>
      <c r="M215" s="510">
        <f t="shared" si="19"/>
        <v>768.97</v>
      </c>
    </row>
    <row r="216" spans="1:14" s="509" customFormat="1" ht="26.25" x14ac:dyDescent="0.25">
      <c r="A216" s="9" t="s">
        <v>345</v>
      </c>
      <c r="B216" s="555">
        <v>93382</v>
      </c>
      <c r="C216" s="436" t="s">
        <v>10</v>
      </c>
      <c r="D216" s="342" t="s">
        <v>271</v>
      </c>
      <c r="E216" s="9" t="s">
        <v>34</v>
      </c>
      <c r="F216" s="553">
        <f>MC!N504</f>
        <v>667.74</v>
      </c>
      <c r="G216" s="9">
        <v>20.77</v>
      </c>
      <c r="H216" s="508">
        <f t="shared" si="20"/>
        <v>5.43</v>
      </c>
      <c r="I216" s="256">
        <f t="shared" si="21"/>
        <v>26.2</v>
      </c>
      <c r="J216" s="257">
        <f t="shared" si="22"/>
        <v>17494.79</v>
      </c>
      <c r="K216" s="515"/>
      <c r="L216" s="510">
        <f t="shared" si="18"/>
        <v>13868.96</v>
      </c>
      <c r="M216" s="510">
        <f t="shared" si="19"/>
        <v>17494.79</v>
      </c>
    </row>
    <row r="217" spans="1:14" s="509" customFormat="1" ht="26.25" x14ac:dyDescent="0.25">
      <c r="A217" s="9" t="s">
        <v>364</v>
      </c>
      <c r="B217" s="549">
        <v>93382</v>
      </c>
      <c r="C217" s="9" t="s">
        <v>10</v>
      </c>
      <c r="D217" s="342" t="s">
        <v>271</v>
      </c>
      <c r="E217" s="9" t="s">
        <v>34</v>
      </c>
      <c r="F217" s="553">
        <f>MC!N569</f>
        <v>180.33</v>
      </c>
      <c r="G217" s="9">
        <v>20.77</v>
      </c>
      <c r="H217" s="508">
        <f t="shared" si="20"/>
        <v>5.43</v>
      </c>
      <c r="I217" s="256">
        <f t="shared" si="21"/>
        <v>26.2</v>
      </c>
      <c r="J217" s="257">
        <f t="shared" si="22"/>
        <v>4724.6499999999996</v>
      </c>
      <c r="L217" s="510">
        <f t="shared" si="18"/>
        <v>3745.45</v>
      </c>
      <c r="M217" s="510">
        <f t="shared" si="19"/>
        <v>4724.6499999999996</v>
      </c>
    </row>
    <row r="218" spans="1:14" s="509" customFormat="1" ht="26.25" x14ac:dyDescent="0.25">
      <c r="A218" s="9" t="s">
        <v>633</v>
      </c>
      <c r="B218" s="549">
        <v>93382</v>
      </c>
      <c r="C218" s="9" t="s">
        <v>10</v>
      </c>
      <c r="D218" s="342" t="s">
        <v>271</v>
      </c>
      <c r="E218" s="9" t="s">
        <v>34</v>
      </c>
      <c r="F218" s="553">
        <f>MC!N630</f>
        <v>71.099999999999994</v>
      </c>
      <c r="G218" s="9">
        <v>20.77</v>
      </c>
      <c r="H218" s="508">
        <f t="shared" si="20"/>
        <v>5.43</v>
      </c>
      <c r="I218" s="256">
        <f t="shared" si="21"/>
        <v>26.2</v>
      </c>
      <c r="J218" s="257">
        <f t="shared" si="22"/>
        <v>1862.82</v>
      </c>
      <c r="L218" s="510">
        <f t="shared" si="18"/>
        <v>1476.75</v>
      </c>
      <c r="M218" s="510">
        <f t="shared" si="19"/>
        <v>1862.82</v>
      </c>
    </row>
    <row r="219" spans="1:14" s="509" customFormat="1" ht="26.25" x14ac:dyDescent="0.25">
      <c r="A219" s="9" t="s">
        <v>404</v>
      </c>
      <c r="B219" s="549">
        <v>93382</v>
      </c>
      <c r="C219" s="9" t="s">
        <v>10</v>
      </c>
      <c r="D219" s="342" t="s">
        <v>271</v>
      </c>
      <c r="E219" s="9" t="s">
        <v>34</v>
      </c>
      <c r="F219" s="553">
        <f>MC!N720</f>
        <v>471.98</v>
      </c>
      <c r="G219" s="9">
        <v>20.77</v>
      </c>
      <c r="H219" s="508">
        <f t="shared" si="20"/>
        <v>5.43</v>
      </c>
      <c r="I219" s="256">
        <f t="shared" si="21"/>
        <v>26.2</v>
      </c>
      <c r="J219" s="257">
        <f t="shared" si="22"/>
        <v>12365.88</v>
      </c>
      <c r="L219" s="510">
        <f t="shared" si="18"/>
        <v>9803.02</v>
      </c>
      <c r="M219" s="510">
        <f t="shared" si="19"/>
        <v>12365.88</v>
      </c>
    </row>
    <row r="220" spans="1:14" s="509" customFormat="1" ht="26.25" x14ac:dyDescent="0.25">
      <c r="A220" s="9" t="s">
        <v>658</v>
      </c>
      <c r="B220" s="549">
        <v>93382</v>
      </c>
      <c r="C220" s="9" t="s">
        <v>10</v>
      </c>
      <c r="D220" s="342" t="s">
        <v>271</v>
      </c>
      <c r="E220" s="9" t="s">
        <v>34</v>
      </c>
      <c r="F220" s="553">
        <f>MC!N784</f>
        <v>62.48</v>
      </c>
      <c r="G220" s="9">
        <v>20.77</v>
      </c>
      <c r="H220" s="508">
        <f t="shared" si="20"/>
        <v>5.43</v>
      </c>
      <c r="I220" s="256">
        <f t="shared" si="21"/>
        <v>26.2</v>
      </c>
      <c r="J220" s="257">
        <f t="shared" si="22"/>
        <v>1636.98</v>
      </c>
      <c r="L220" s="510">
        <f t="shared" si="18"/>
        <v>1297.71</v>
      </c>
      <c r="M220" s="510">
        <f t="shared" si="19"/>
        <v>1636.98</v>
      </c>
    </row>
    <row r="221" spans="1:14" s="509" customFormat="1" ht="38.25" x14ac:dyDescent="0.25">
      <c r="A221" s="9" t="s">
        <v>441</v>
      </c>
      <c r="B221" s="16">
        <v>93214</v>
      </c>
      <c r="C221" s="274" t="s">
        <v>10</v>
      </c>
      <c r="D221" s="527" t="s">
        <v>444</v>
      </c>
      <c r="E221" s="9" t="s">
        <v>57</v>
      </c>
      <c r="F221" s="533">
        <f>MC!N33</f>
        <v>1</v>
      </c>
      <c r="G221" s="487">
        <v>4372.84</v>
      </c>
      <c r="H221" s="511">
        <f t="shared" si="20"/>
        <v>1143.06</v>
      </c>
      <c r="I221" s="14">
        <f t="shared" si="21"/>
        <v>5515.9</v>
      </c>
      <c r="J221" s="15">
        <f t="shared" si="22"/>
        <v>5515.9</v>
      </c>
      <c r="L221" s="510">
        <f t="shared" ref="L221:L250" si="23">ROUND(F221*G221,2)</f>
        <v>4372.84</v>
      </c>
      <c r="M221" s="510">
        <f t="shared" ref="M221:M250" si="24">ROUND(F221*I221,2)</f>
        <v>5515.9</v>
      </c>
    </row>
    <row r="222" spans="1:14" s="509" customFormat="1" ht="51.75" x14ac:dyDescent="0.25">
      <c r="A222" s="9" t="s">
        <v>401</v>
      </c>
      <c r="B222" s="106">
        <v>92212</v>
      </c>
      <c r="C222" s="9" t="s">
        <v>10</v>
      </c>
      <c r="D222" s="342" t="s">
        <v>52</v>
      </c>
      <c r="E222" s="9" t="s">
        <v>42</v>
      </c>
      <c r="F222" s="529">
        <f>MC!N711</f>
        <v>21.92</v>
      </c>
      <c r="G222" s="9">
        <v>186.47</v>
      </c>
      <c r="H222" s="508">
        <f t="shared" si="20"/>
        <v>48.74</v>
      </c>
      <c r="I222" s="256">
        <f t="shared" si="21"/>
        <v>235.21</v>
      </c>
      <c r="J222" s="257">
        <f t="shared" si="22"/>
        <v>5155.8</v>
      </c>
      <c r="L222" s="510">
        <f t="shared" si="23"/>
        <v>4087.42</v>
      </c>
      <c r="M222" s="510">
        <f t="shared" si="24"/>
        <v>5155.8</v>
      </c>
    </row>
    <row r="223" spans="1:14" s="509" customFormat="1" ht="51.75" x14ac:dyDescent="0.25">
      <c r="A223" s="9" t="s">
        <v>591</v>
      </c>
      <c r="B223" s="106">
        <v>92210</v>
      </c>
      <c r="C223" s="9" t="s">
        <v>10</v>
      </c>
      <c r="D223" s="342" t="s">
        <v>266</v>
      </c>
      <c r="E223" s="9" t="s">
        <v>42</v>
      </c>
      <c r="F223" s="529">
        <f>MC!N180</f>
        <v>36.65</v>
      </c>
      <c r="G223" s="9">
        <v>104.87</v>
      </c>
      <c r="H223" s="508">
        <f t="shared" si="20"/>
        <v>27.41</v>
      </c>
      <c r="I223" s="256">
        <f t="shared" si="21"/>
        <v>132.28</v>
      </c>
      <c r="J223" s="257">
        <f t="shared" si="22"/>
        <v>4848.0600000000004</v>
      </c>
      <c r="K223" s="518">
        <f>ROUND(SUM(J223:J230),2)</f>
        <v>68797.5</v>
      </c>
      <c r="L223" s="510">
        <f t="shared" si="23"/>
        <v>3843.49</v>
      </c>
      <c r="M223" s="510">
        <f t="shared" si="24"/>
        <v>4848.0600000000004</v>
      </c>
    </row>
    <row r="224" spans="1:14" s="509" customFormat="1" ht="51.75" x14ac:dyDescent="0.25">
      <c r="A224" s="9" t="s">
        <v>605</v>
      </c>
      <c r="B224" s="106">
        <v>92210</v>
      </c>
      <c r="C224" s="9" t="s">
        <v>10</v>
      </c>
      <c r="D224" s="342" t="s">
        <v>266</v>
      </c>
      <c r="E224" s="9" t="s">
        <v>42</v>
      </c>
      <c r="F224" s="529">
        <f>MC!N289</f>
        <v>16.72</v>
      </c>
      <c r="G224" s="9">
        <v>104.87</v>
      </c>
      <c r="H224" s="508">
        <f t="shared" si="20"/>
        <v>27.41</v>
      </c>
      <c r="I224" s="256">
        <f t="shared" si="21"/>
        <v>132.28</v>
      </c>
      <c r="J224" s="257">
        <f t="shared" si="22"/>
        <v>2211.7199999999998</v>
      </c>
      <c r="L224" s="510">
        <f t="shared" si="23"/>
        <v>1753.43</v>
      </c>
      <c r="M224" s="510">
        <f t="shared" si="24"/>
        <v>2211.7199999999998</v>
      </c>
    </row>
    <row r="225" spans="1:14" s="509" customFormat="1" ht="51.75" x14ac:dyDescent="0.25">
      <c r="A225" s="8" t="s">
        <v>616</v>
      </c>
      <c r="B225" s="106">
        <v>92210</v>
      </c>
      <c r="C225" s="9" t="s">
        <v>10</v>
      </c>
      <c r="D225" s="342" t="s">
        <v>266</v>
      </c>
      <c r="E225" s="9" t="s">
        <v>42</v>
      </c>
      <c r="F225" s="533">
        <f>MC!N400</f>
        <v>13.77</v>
      </c>
      <c r="G225" s="8">
        <v>104.87</v>
      </c>
      <c r="H225" s="511">
        <f t="shared" si="20"/>
        <v>27.41</v>
      </c>
      <c r="I225" s="14">
        <f t="shared" si="21"/>
        <v>132.28</v>
      </c>
      <c r="J225" s="15">
        <f t="shared" si="22"/>
        <v>1821.5</v>
      </c>
      <c r="L225" s="510">
        <f t="shared" si="23"/>
        <v>1444.06</v>
      </c>
      <c r="M225" s="510">
        <f t="shared" si="24"/>
        <v>1821.5</v>
      </c>
    </row>
    <row r="226" spans="1:14" s="509" customFormat="1" ht="51.75" x14ac:dyDescent="0.25">
      <c r="A226" s="9" t="s">
        <v>343</v>
      </c>
      <c r="B226" s="106">
        <v>92210</v>
      </c>
      <c r="C226" s="9" t="s">
        <v>10</v>
      </c>
      <c r="D226" s="342" t="s">
        <v>266</v>
      </c>
      <c r="E226" s="9" t="s">
        <v>42</v>
      </c>
      <c r="F226" s="529">
        <f>MC!N498</f>
        <v>212.44</v>
      </c>
      <c r="G226" s="9">
        <v>104.87</v>
      </c>
      <c r="H226" s="508">
        <f t="shared" si="20"/>
        <v>27.41</v>
      </c>
      <c r="I226" s="256">
        <f t="shared" si="21"/>
        <v>132.28</v>
      </c>
      <c r="J226" s="257">
        <f t="shared" si="22"/>
        <v>28101.56</v>
      </c>
      <c r="L226" s="510">
        <f t="shared" si="23"/>
        <v>22278.58</v>
      </c>
      <c r="M226" s="510">
        <f t="shared" si="24"/>
        <v>28101.56</v>
      </c>
    </row>
    <row r="227" spans="1:14" s="509" customFormat="1" ht="51.75" x14ac:dyDescent="0.25">
      <c r="A227" s="9" t="s">
        <v>362</v>
      </c>
      <c r="B227" s="106">
        <v>92210</v>
      </c>
      <c r="C227" s="9" t="s">
        <v>10</v>
      </c>
      <c r="D227" s="342" t="s">
        <v>266</v>
      </c>
      <c r="E227" s="9" t="s">
        <v>42</v>
      </c>
      <c r="F227" s="529">
        <f>MC!N563</f>
        <v>87.81</v>
      </c>
      <c r="G227" s="9">
        <v>104.87</v>
      </c>
      <c r="H227" s="508">
        <f t="shared" si="20"/>
        <v>27.41</v>
      </c>
      <c r="I227" s="256">
        <f t="shared" si="21"/>
        <v>132.28</v>
      </c>
      <c r="J227" s="257">
        <f t="shared" si="22"/>
        <v>11615.51</v>
      </c>
      <c r="L227" s="510">
        <f t="shared" si="23"/>
        <v>9208.6299999999992</v>
      </c>
      <c r="M227" s="510">
        <f t="shared" si="24"/>
        <v>11615.51</v>
      </c>
    </row>
    <row r="228" spans="1:14" s="509" customFormat="1" ht="51.75" x14ac:dyDescent="0.25">
      <c r="A228" s="9" t="s">
        <v>631</v>
      </c>
      <c r="B228" s="106">
        <v>92210</v>
      </c>
      <c r="C228" s="9" t="s">
        <v>10</v>
      </c>
      <c r="D228" s="342" t="s">
        <v>266</v>
      </c>
      <c r="E228" s="9" t="s">
        <v>42</v>
      </c>
      <c r="F228" s="529">
        <f>MC!N624</f>
        <v>34.619999999999997</v>
      </c>
      <c r="G228" s="9">
        <v>104.87</v>
      </c>
      <c r="H228" s="508">
        <f t="shared" si="20"/>
        <v>27.41</v>
      </c>
      <c r="I228" s="256">
        <f t="shared" si="21"/>
        <v>132.28</v>
      </c>
      <c r="J228" s="257">
        <f t="shared" si="22"/>
        <v>4579.53</v>
      </c>
      <c r="L228" s="510">
        <f t="shared" si="23"/>
        <v>3630.6</v>
      </c>
      <c r="M228" s="510">
        <f t="shared" si="24"/>
        <v>4579.53</v>
      </c>
      <c r="N228" s="515"/>
    </row>
    <row r="229" spans="1:14" s="509" customFormat="1" ht="51.75" x14ac:dyDescent="0.25">
      <c r="A229" s="9" t="s">
        <v>402</v>
      </c>
      <c r="B229" s="106">
        <v>92210</v>
      </c>
      <c r="C229" s="9" t="s">
        <v>10</v>
      </c>
      <c r="D229" s="342" t="s">
        <v>266</v>
      </c>
      <c r="E229" s="9" t="s">
        <v>42</v>
      </c>
      <c r="F229" s="529">
        <f>MC!N714</f>
        <v>98</v>
      </c>
      <c r="G229" s="9">
        <v>104.87</v>
      </c>
      <c r="H229" s="508">
        <f t="shared" si="20"/>
        <v>27.41</v>
      </c>
      <c r="I229" s="256">
        <f t="shared" si="21"/>
        <v>132.28</v>
      </c>
      <c r="J229" s="257">
        <f t="shared" si="22"/>
        <v>12963.44</v>
      </c>
      <c r="L229" s="510">
        <f t="shared" si="23"/>
        <v>10277.26</v>
      </c>
      <c r="M229" s="510">
        <f t="shared" si="24"/>
        <v>12963.44</v>
      </c>
    </row>
    <row r="230" spans="1:14" s="509" customFormat="1" ht="51.75" x14ac:dyDescent="0.25">
      <c r="A230" s="9" t="s">
        <v>656</v>
      </c>
      <c r="B230" s="106">
        <v>92210</v>
      </c>
      <c r="C230" s="9" t="s">
        <v>10</v>
      </c>
      <c r="D230" s="342" t="s">
        <v>266</v>
      </c>
      <c r="E230" s="9" t="s">
        <v>42</v>
      </c>
      <c r="F230" s="529">
        <f>MC!N778</f>
        <v>20.079999999999998</v>
      </c>
      <c r="G230" s="9">
        <v>104.87</v>
      </c>
      <c r="H230" s="508">
        <f t="shared" si="20"/>
        <v>27.41</v>
      </c>
      <c r="I230" s="256">
        <f t="shared" si="21"/>
        <v>132.28</v>
      </c>
      <c r="J230" s="257">
        <f t="shared" si="22"/>
        <v>2656.18</v>
      </c>
      <c r="L230" s="510">
        <f t="shared" si="23"/>
        <v>2105.79</v>
      </c>
      <c r="M230" s="510">
        <f t="shared" si="24"/>
        <v>2656.18</v>
      </c>
    </row>
    <row r="231" spans="1:14" s="509" customFormat="1" ht="64.5" x14ac:dyDescent="0.25">
      <c r="A231" s="9" t="s">
        <v>590</v>
      </c>
      <c r="B231" s="547">
        <v>90084</v>
      </c>
      <c r="C231" s="8" t="s">
        <v>10</v>
      </c>
      <c r="D231" s="345" t="s">
        <v>51</v>
      </c>
      <c r="E231" s="8" t="s">
        <v>34</v>
      </c>
      <c r="F231" s="552">
        <f>MC!N177</f>
        <v>9.4700000000000006</v>
      </c>
      <c r="G231" s="8">
        <v>7.2</v>
      </c>
      <c r="H231" s="508">
        <f t="shared" si="20"/>
        <v>1.88</v>
      </c>
      <c r="I231" s="256">
        <f t="shared" si="21"/>
        <v>9.08</v>
      </c>
      <c r="J231" s="257">
        <f t="shared" si="22"/>
        <v>85.99</v>
      </c>
      <c r="K231" s="518">
        <f>ROUND(SUM(J231:J238),2)</f>
        <v>5649.57</v>
      </c>
      <c r="L231" s="510">
        <f t="shared" si="23"/>
        <v>68.180000000000007</v>
      </c>
      <c r="M231" s="510">
        <f t="shared" si="24"/>
        <v>85.99</v>
      </c>
    </row>
    <row r="232" spans="1:14" s="509" customFormat="1" ht="64.5" x14ac:dyDescent="0.25">
      <c r="A232" s="9" t="s">
        <v>604</v>
      </c>
      <c r="B232" s="547">
        <v>90084</v>
      </c>
      <c r="C232" s="8" t="s">
        <v>10</v>
      </c>
      <c r="D232" s="345" t="s">
        <v>51</v>
      </c>
      <c r="E232" s="8" t="s">
        <v>34</v>
      </c>
      <c r="F232" s="552">
        <f>MC!N285</f>
        <v>4.72</v>
      </c>
      <c r="G232" s="8">
        <v>7.2</v>
      </c>
      <c r="H232" s="508">
        <f t="shared" si="20"/>
        <v>1.88</v>
      </c>
      <c r="I232" s="256">
        <f t="shared" si="21"/>
        <v>9.08</v>
      </c>
      <c r="J232" s="257">
        <f t="shared" si="22"/>
        <v>42.86</v>
      </c>
      <c r="L232" s="510">
        <f t="shared" si="23"/>
        <v>33.979999999999997</v>
      </c>
      <c r="M232" s="510">
        <f t="shared" si="24"/>
        <v>42.86</v>
      </c>
    </row>
    <row r="233" spans="1:14" s="509" customFormat="1" ht="64.5" x14ac:dyDescent="0.25">
      <c r="A233" s="8" t="s">
        <v>615</v>
      </c>
      <c r="B233" s="547">
        <v>90084</v>
      </c>
      <c r="C233" s="8" t="s">
        <v>10</v>
      </c>
      <c r="D233" s="345" t="s">
        <v>51</v>
      </c>
      <c r="E233" s="8" t="s">
        <v>34</v>
      </c>
      <c r="F233" s="552">
        <f>MC!N397</f>
        <v>4.17</v>
      </c>
      <c r="G233" s="8">
        <v>7.2</v>
      </c>
      <c r="H233" s="511">
        <f t="shared" si="20"/>
        <v>1.88</v>
      </c>
      <c r="I233" s="14">
        <f t="shared" si="21"/>
        <v>9.08</v>
      </c>
      <c r="J233" s="15">
        <f t="shared" si="22"/>
        <v>37.86</v>
      </c>
      <c r="L233" s="510">
        <f t="shared" si="23"/>
        <v>30.02</v>
      </c>
      <c r="M233" s="510">
        <f t="shared" si="24"/>
        <v>37.86</v>
      </c>
    </row>
    <row r="234" spans="1:14" s="509" customFormat="1" ht="64.5" x14ac:dyDescent="0.25">
      <c r="A234" s="9" t="s">
        <v>342</v>
      </c>
      <c r="B234" s="547">
        <v>90084</v>
      </c>
      <c r="C234" s="8" t="s">
        <v>10</v>
      </c>
      <c r="D234" s="345" t="s">
        <v>51</v>
      </c>
      <c r="E234" s="8" t="s">
        <v>34</v>
      </c>
      <c r="F234" s="553">
        <f>MC!N494</f>
        <v>279.38</v>
      </c>
      <c r="G234" s="9">
        <v>7.2</v>
      </c>
      <c r="H234" s="508">
        <f t="shared" si="20"/>
        <v>1.88</v>
      </c>
      <c r="I234" s="256">
        <f t="shared" si="21"/>
        <v>9.08</v>
      </c>
      <c r="J234" s="257">
        <f t="shared" si="22"/>
        <v>2536.77</v>
      </c>
      <c r="L234" s="510">
        <f t="shared" si="23"/>
        <v>2011.54</v>
      </c>
      <c r="M234" s="510">
        <f t="shared" si="24"/>
        <v>2536.77</v>
      </c>
    </row>
    <row r="235" spans="1:14" s="509" customFormat="1" ht="64.5" x14ac:dyDescent="0.25">
      <c r="A235" s="9" t="s">
        <v>361</v>
      </c>
      <c r="B235" s="547">
        <v>90084</v>
      </c>
      <c r="C235" s="520" t="s">
        <v>10</v>
      </c>
      <c r="D235" s="345" t="s">
        <v>51</v>
      </c>
      <c r="E235" s="521" t="s">
        <v>34</v>
      </c>
      <c r="F235" s="553">
        <f>MC!N560</f>
        <v>19.77</v>
      </c>
      <c r="G235" s="426">
        <v>7.2</v>
      </c>
      <c r="H235" s="508">
        <f t="shared" si="20"/>
        <v>1.88</v>
      </c>
      <c r="I235" s="256">
        <f t="shared" si="21"/>
        <v>9.08</v>
      </c>
      <c r="J235" s="257">
        <f t="shared" si="22"/>
        <v>179.51</v>
      </c>
      <c r="L235" s="510">
        <f t="shared" si="23"/>
        <v>142.34</v>
      </c>
      <c r="M235" s="510">
        <f t="shared" si="24"/>
        <v>179.51</v>
      </c>
    </row>
    <row r="236" spans="1:14" s="509" customFormat="1" ht="64.5" x14ac:dyDescent="0.25">
      <c r="A236" s="9" t="s">
        <v>630</v>
      </c>
      <c r="B236" s="547">
        <v>90084</v>
      </c>
      <c r="C236" s="8" t="s">
        <v>10</v>
      </c>
      <c r="D236" s="345" t="s">
        <v>51</v>
      </c>
      <c r="E236" s="8" t="s">
        <v>34</v>
      </c>
      <c r="F236" s="553">
        <f>MC!N621</f>
        <v>7.79</v>
      </c>
      <c r="G236" s="9">
        <v>7.2</v>
      </c>
      <c r="H236" s="508">
        <f t="shared" si="20"/>
        <v>1.88</v>
      </c>
      <c r="I236" s="256">
        <f t="shared" si="21"/>
        <v>9.08</v>
      </c>
      <c r="J236" s="257">
        <f t="shared" si="22"/>
        <v>70.73</v>
      </c>
      <c r="K236" s="515"/>
      <c r="L236" s="510">
        <f t="shared" si="23"/>
        <v>56.09</v>
      </c>
      <c r="M236" s="510">
        <f t="shared" si="24"/>
        <v>70.73</v>
      </c>
    </row>
    <row r="237" spans="1:14" s="509" customFormat="1" ht="64.5" x14ac:dyDescent="0.25">
      <c r="A237" s="9" t="s">
        <v>400</v>
      </c>
      <c r="B237" s="548">
        <v>90084</v>
      </c>
      <c r="C237" s="521" t="s">
        <v>10</v>
      </c>
      <c r="D237" s="345" t="s">
        <v>51</v>
      </c>
      <c r="E237" s="8" t="s">
        <v>34</v>
      </c>
      <c r="F237" s="553">
        <f>MC!N707</f>
        <v>271.14</v>
      </c>
      <c r="G237" s="9">
        <v>7.2</v>
      </c>
      <c r="H237" s="508">
        <f t="shared" si="20"/>
        <v>1.88</v>
      </c>
      <c r="I237" s="256">
        <f t="shared" si="21"/>
        <v>9.08</v>
      </c>
      <c r="J237" s="257">
        <f t="shared" si="22"/>
        <v>2461.9499999999998</v>
      </c>
      <c r="K237" s="515"/>
      <c r="L237" s="510">
        <f t="shared" si="23"/>
        <v>1952.21</v>
      </c>
      <c r="M237" s="510">
        <f t="shared" si="24"/>
        <v>2461.9499999999998</v>
      </c>
    </row>
    <row r="238" spans="1:14" s="509" customFormat="1" ht="64.5" x14ac:dyDescent="0.25">
      <c r="A238" s="9" t="s">
        <v>655</v>
      </c>
      <c r="B238" s="547">
        <v>90084</v>
      </c>
      <c r="C238" s="8" t="s">
        <v>10</v>
      </c>
      <c r="D238" s="345" t="s">
        <v>51</v>
      </c>
      <c r="E238" s="8" t="s">
        <v>34</v>
      </c>
      <c r="F238" s="553">
        <f>MC!N775</f>
        <v>25.76</v>
      </c>
      <c r="G238" s="9">
        <v>7.2</v>
      </c>
      <c r="H238" s="508">
        <f t="shared" si="20"/>
        <v>1.88</v>
      </c>
      <c r="I238" s="256">
        <f t="shared" si="21"/>
        <v>9.08</v>
      </c>
      <c r="J238" s="257">
        <f t="shared" si="22"/>
        <v>233.9</v>
      </c>
      <c r="L238" s="510">
        <f t="shared" si="23"/>
        <v>185.47</v>
      </c>
      <c r="M238" s="510">
        <f t="shared" si="24"/>
        <v>233.9</v>
      </c>
    </row>
    <row r="239" spans="1:14" s="509" customFormat="1" ht="64.5" x14ac:dyDescent="0.25">
      <c r="A239" s="9" t="s">
        <v>589</v>
      </c>
      <c r="B239" s="557">
        <v>90082</v>
      </c>
      <c r="C239" s="8" t="s">
        <v>10</v>
      </c>
      <c r="D239" s="345" t="s">
        <v>50</v>
      </c>
      <c r="E239" s="8" t="s">
        <v>34</v>
      </c>
      <c r="F239" s="558">
        <f>MC!N174</f>
        <v>82.46</v>
      </c>
      <c r="G239" s="9">
        <v>7.44</v>
      </c>
      <c r="H239" s="508">
        <f t="shared" si="20"/>
        <v>1.94</v>
      </c>
      <c r="I239" s="256">
        <f t="shared" si="21"/>
        <v>9.3800000000000008</v>
      </c>
      <c r="J239" s="257">
        <f t="shared" si="22"/>
        <v>773.47</v>
      </c>
      <c r="K239" s="518">
        <f>ROUND(SUM(J239:J246),2)</f>
        <v>11439.2</v>
      </c>
      <c r="L239" s="510">
        <f t="shared" si="23"/>
        <v>613.5</v>
      </c>
      <c r="M239" s="510">
        <f t="shared" si="24"/>
        <v>773.47</v>
      </c>
    </row>
    <row r="240" spans="1:14" s="509" customFormat="1" ht="64.5" x14ac:dyDescent="0.25">
      <c r="A240" s="9" t="s">
        <v>603</v>
      </c>
      <c r="B240" s="557">
        <v>90082</v>
      </c>
      <c r="C240" s="8" t="s">
        <v>10</v>
      </c>
      <c r="D240" s="345" t="s">
        <v>50</v>
      </c>
      <c r="E240" s="8" t="s">
        <v>34</v>
      </c>
      <c r="F240" s="558">
        <f>MC!N282</f>
        <v>37.619999999999997</v>
      </c>
      <c r="G240" s="9">
        <v>7.44</v>
      </c>
      <c r="H240" s="508">
        <f t="shared" si="20"/>
        <v>1.94</v>
      </c>
      <c r="I240" s="256">
        <f t="shared" si="21"/>
        <v>9.3800000000000008</v>
      </c>
      <c r="J240" s="257">
        <f t="shared" si="22"/>
        <v>352.88</v>
      </c>
      <c r="L240" s="510">
        <f t="shared" si="23"/>
        <v>279.89</v>
      </c>
      <c r="M240" s="510">
        <f t="shared" si="24"/>
        <v>352.88</v>
      </c>
    </row>
    <row r="241" spans="1:14" s="509" customFormat="1" ht="64.5" x14ac:dyDescent="0.25">
      <c r="A241" s="8" t="s">
        <v>176</v>
      </c>
      <c r="B241" s="557">
        <v>90082</v>
      </c>
      <c r="C241" s="8" t="s">
        <v>10</v>
      </c>
      <c r="D241" s="345" t="s">
        <v>50</v>
      </c>
      <c r="E241" s="8" t="s">
        <v>34</v>
      </c>
      <c r="F241" s="559">
        <f>MC!N394</f>
        <v>30.98</v>
      </c>
      <c r="G241" s="8">
        <v>7.44</v>
      </c>
      <c r="H241" s="511">
        <f t="shared" si="20"/>
        <v>1.94</v>
      </c>
      <c r="I241" s="14">
        <f t="shared" si="21"/>
        <v>9.3800000000000008</v>
      </c>
      <c r="J241" s="15">
        <f t="shared" si="22"/>
        <v>290.58999999999997</v>
      </c>
      <c r="L241" s="510">
        <f t="shared" si="23"/>
        <v>230.49</v>
      </c>
      <c r="M241" s="510">
        <f t="shared" si="24"/>
        <v>290.58999999999997</v>
      </c>
    </row>
    <row r="242" spans="1:14" s="509" customFormat="1" ht="64.5" x14ac:dyDescent="0.25">
      <c r="A242" s="9" t="s">
        <v>341</v>
      </c>
      <c r="B242" s="557">
        <v>90082</v>
      </c>
      <c r="C242" s="8" t="s">
        <v>10</v>
      </c>
      <c r="D242" s="345" t="s">
        <v>50</v>
      </c>
      <c r="E242" s="8" t="s">
        <v>34</v>
      </c>
      <c r="F242" s="558">
        <f>MC!N491</f>
        <v>477.99</v>
      </c>
      <c r="G242" s="9">
        <v>7.44</v>
      </c>
      <c r="H242" s="508">
        <f t="shared" si="20"/>
        <v>1.94</v>
      </c>
      <c r="I242" s="256">
        <f t="shared" si="21"/>
        <v>9.3800000000000008</v>
      </c>
      <c r="J242" s="257">
        <f t="shared" si="22"/>
        <v>4483.55</v>
      </c>
      <c r="L242" s="510">
        <f t="shared" si="23"/>
        <v>3556.25</v>
      </c>
      <c r="M242" s="510">
        <f t="shared" si="24"/>
        <v>4483.55</v>
      </c>
    </row>
    <row r="243" spans="1:14" s="509" customFormat="1" ht="64.5" x14ac:dyDescent="0.25">
      <c r="A243" s="9" t="s">
        <v>360</v>
      </c>
      <c r="B243" s="557">
        <v>90082</v>
      </c>
      <c r="C243" s="8" t="s">
        <v>10</v>
      </c>
      <c r="D243" s="345" t="s">
        <v>50</v>
      </c>
      <c r="E243" s="8" t="s">
        <v>34</v>
      </c>
      <c r="F243" s="558">
        <f>MC!N557</f>
        <v>197.57</v>
      </c>
      <c r="G243" s="9">
        <v>7.44</v>
      </c>
      <c r="H243" s="508">
        <f t="shared" si="20"/>
        <v>1.94</v>
      </c>
      <c r="I243" s="256">
        <f t="shared" si="21"/>
        <v>9.3800000000000008</v>
      </c>
      <c r="J243" s="257">
        <f t="shared" si="22"/>
        <v>1853.21</v>
      </c>
      <c r="L243" s="510">
        <f t="shared" si="23"/>
        <v>1469.92</v>
      </c>
      <c r="M243" s="510">
        <f t="shared" si="24"/>
        <v>1853.21</v>
      </c>
    </row>
    <row r="244" spans="1:14" s="509" customFormat="1" ht="64.5" x14ac:dyDescent="0.25">
      <c r="A244" s="9" t="s">
        <v>629</v>
      </c>
      <c r="B244" s="557">
        <v>90082</v>
      </c>
      <c r="C244" s="8" t="s">
        <v>10</v>
      </c>
      <c r="D244" s="345" t="s">
        <v>50</v>
      </c>
      <c r="E244" s="8" t="s">
        <v>34</v>
      </c>
      <c r="F244" s="558">
        <f>MC!N618</f>
        <v>77.900000000000006</v>
      </c>
      <c r="G244" s="9">
        <v>7.44</v>
      </c>
      <c r="H244" s="508">
        <f t="shared" si="20"/>
        <v>1.94</v>
      </c>
      <c r="I244" s="256">
        <f t="shared" si="21"/>
        <v>9.3800000000000008</v>
      </c>
      <c r="J244" s="257">
        <f t="shared" si="22"/>
        <v>730.7</v>
      </c>
      <c r="L244" s="510">
        <f t="shared" si="23"/>
        <v>579.58000000000004</v>
      </c>
      <c r="M244" s="510">
        <f t="shared" si="24"/>
        <v>730.7</v>
      </c>
    </row>
    <row r="245" spans="1:14" s="509" customFormat="1" ht="64.5" x14ac:dyDescent="0.25">
      <c r="A245" s="9" t="s">
        <v>399</v>
      </c>
      <c r="B245" s="557">
        <v>90082</v>
      </c>
      <c r="C245" s="8" t="s">
        <v>10</v>
      </c>
      <c r="D245" s="345" t="s">
        <v>50</v>
      </c>
      <c r="E245" s="8" t="s">
        <v>34</v>
      </c>
      <c r="F245" s="558">
        <f>MC!N704</f>
        <v>269.83</v>
      </c>
      <c r="G245" s="9">
        <v>7.44</v>
      </c>
      <c r="H245" s="508">
        <f t="shared" si="20"/>
        <v>1.94</v>
      </c>
      <c r="I245" s="256">
        <f t="shared" si="21"/>
        <v>9.3800000000000008</v>
      </c>
      <c r="J245" s="257">
        <f t="shared" si="22"/>
        <v>2531.0100000000002</v>
      </c>
      <c r="L245" s="510">
        <f t="shared" si="23"/>
        <v>2007.54</v>
      </c>
      <c r="M245" s="510">
        <f t="shared" si="24"/>
        <v>2531.0100000000002</v>
      </c>
    </row>
    <row r="246" spans="1:14" s="509" customFormat="1" ht="64.5" x14ac:dyDescent="0.25">
      <c r="A246" s="9" t="s">
        <v>654</v>
      </c>
      <c r="B246" s="557">
        <v>90082</v>
      </c>
      <c r="C246" s="8" t="s">
        <v>10</v>
      </c>
      <c r="D246" s="345" t="s">
        <v>50</v>
      </c>
      <c r="E246" s="8" t="s">
        <v>34</v>
      </c>
      <c r="F246" s="558">
        <f>MC!N772</f>
        <v>45.18</v>
      </c>
      <c r="G246" s="9">
        <v>7.44</v>
      </c>
      <c r="H246" s="508">
        <f t="shared" si="20"/>
        <v>1.94</v>
      </c>
      <c r="I246" s="256">
        <f t="shared" si="21"/>
        <v>9.3800000000000008</v>
      </c>
      <c r="J246" s="257">
        <f t="shared" si="22"/>
        <v>423.79</v>
      </c>
      <c r="L246" s="510">
        <f t="shared" si="23"/>
        <v>336.14</v>
      </c>
      <c r="M246" s="510">
        <f t="shared" si="24"/>
        <v>423.79</v>
      </c>
    </row>
    <row r="247" spans="1:14" s="509" customFormat="1" ht="38.25" x14ac:dyDescent="0.25">
      <c r="A247" s="9" t="s">
        <v>439</v>
      </c>
      <c r="B247" s="9">
        <v>10777</v>
      </c>
      <c r="C247" s="42" t="s">
        <v>10</v>
      </c>
      <c r="D247" s="527" t="s">
        <v>442</v>
      </c>
      <c r="E247" s="9" t="s">
        <v>437</v>
      </c>
      <c r="F247" s="533">
        <f>MC!N27</f>
        <v>10</v>
      </c>
      <c r="G247" s="487">
        <v>664.21</v>
      </c>
      <c r="H247" s="511">
        <f t="shared" si="20"/>
        <v>173.62</v>
      </c>
      <c r="I247" s="14">
        <f t="shared" si="21"/>
        <v>837.83</v>
      </c>
      <c r="J247" s="15">
        <f t="shared" si="22"/>
        <v>8378.2999999999993</v>
      </c>
      <c r="L247" s="510">
        <f t="shared" si="23"/>
        <v>6642.1</v>
      </c>
      <c r="M247" s="510">
        <f t="shared" si="24"/>
        <v>8378.2999999999993</v>
      </c>
    </row>
    <row r="248" spans="1:14" s="509" customFormat="1" ht="38.25" x14ac:dyDescent="0.25">
      <c r="A248" s="9" t="s">
        <v>438</v>
      </c>
      <c r="B248" s="9">
        <v>10775</v>
      </c>
      <c r="C248" s="42" t="s">
        <v>10</v>
      </c>
      <c r="D248" s="527" t="s">
        <v>436</v>
      </c>
      <c r="E248" s="9" t="s">
        <v>437</v>
      </c>
      <c r="F248" s="533">
        <f>MC!N24</f>
        <v>10</v>
      </c>
      <c r="G248" s="487">
        <v>585</v>
      </c>
      <c r="H248" s="511">
        <f t="shared" si="20"/>
        <v>152.91999999999999</v>
      </c>
      <c r="I248" s="14">
        <f t="shared" si="21"/>
        <v>737.92</v>
      </c>
      <c r="J248" s="15">
        <f t="shared" si="22"/>
        <v>7379.2</v>
      </c>
      <c r="L248" s="510">
        <f t="shared" si="23"/>
        <v>5850</v>
      </c>
      <c r="M248" s="510">
        <f t="shared" si="24"/>
        <v>7379.2</v>
      </c>
    </row>
    <row r="249" spans="1:14" s="509" customFormat="1" ht="38.25" x14ac:dyDescent="0.25">
      <c r="A249" s="9" t="s">
        <v>440</v>
      </c>
      <c r="B249" s="9">
        <v>9416</v>
      </c>
      <c r="C249" s="42" t="s">
        <v>59</v>
      </c>
      <c r="D249" s="527" t="s">
        <v>443</v>
      </c>
      <c r="E249" s="9" t="s">
        <v>57</v>
      </c>
      <c r="F249" s="533">
        <f>MC!N30</f>
        <v>1</v>
      </c>
      <c r="G249" s="487">
        <v>2531.2600000000002</v>
      </c>
      <c r="H249" s="511">
        <f t="shared" si="20"/>
        <v>661.67</v>
      </c>
      <c r="I249" s="14">
        <f t="shared" si="21"/>
        <v>3192.93</v>
      </c>
      <c r="J249" s="15">
        <f t="shared" si="22"/>
        <v>3192.93</v>
      </c>
      <c r="L249" s="510">
        <f t="shared" si="23"/>
        <v>2531.2600000000002</v>
      </c>
      <c r="M249" s="510">
        <f t="shared" si="24"/>
        <v>3192.93</v>
      </c>
    </row>
    <row r="250" spans="1:14" s="509" customFormat="1" x14ac:dyDescent="0.25">
      <c r="A250" s="9" t="s">
        <v>435</v>
      </c>
      <c r="B250" s="43">
        <v>5158</v>
      </c>
      <c r="C250" s="42" t="s">
        <v>59</v>
      </c>
      <c r="D250" s="56" t="s">
        <v>434</v>
      </c>
      <c r="E250" s="9" t="s">
        <v>30</v>
      </c>
      <c r="F250" s="533">
        <f>MC!N21</f>
        <v>1084.02</v>
      </c>
      <c r="G250" s="487">
        <v>3.93</v>
      </c>
      <c r="H250" s="511">
        <f t="shared" si="20"/>
        <v>1.03</v>
      </c>
      <c r="I250" s="14">
        <f t="shared" si="21"/>
        <v>4.96</v>
      </c>
      <c r="J250" s="15">
        <f t="shared" si="22"/>
        <v>5376.74</v>
      </c>
      <c r="L250" s="510">
        <f t="shared" si="23"/>
        <v>4260.2</v>
      </c>
      <c r="M250" s="510">
        <f t="shared" si="24"/>
        <v>5376.74</v>
      </c>
    </row>
    <row r="251" spans="1:14" x14ac:dyDescent="0.25">
      <c r="A251" s="427"/>
      <c r="B251" s="427"/>
      <c r="C251" s="427"/>
      <c r="D251" s="427"/>
      <c r="E251" s="427"/>
      <c r="F251" s="536"/>
      <c r="G251" s="427"/>
      <c r="H251" s="427"/>
      <c r="I251" s="427"/>
      <c r="J251" s="427"/>
      <c r="K251" s="108"/>
      <c r="L251" s="273">
        <f>SUM(L9:L250)</f>
        <v>3108004.7</v>
      </c>
      <c r="M251" s="273">
        <f>SUM(M9:M250)</f>
        <v>3920490.68</v>
      </c>
    </row>
    <row r="252" spans="1:14" x14ac:dyDescent="0.25">
      <c r="A252" s="806" t="s">
        <v>276</v>
      </c>
      <c r="B252" s="807"/>
      <c r="C252" s="807"/>
      <c r="D252" s="807"/>
      <c r="E252" s="807"/>
      <c r="F252" s="807"/>
      <c r="G252" s="807"/>
      <c r="H252" s="807"/>
      <c r="I252" s="808"/>
      <c r="J252" s="313">
        <f>SUM(J9:J250)</f>
        <v>3920490.68</v>
      </c>
      <c r="L252" s="273"/>
      <c r="M252" s="273"/>
    </row>
    <row r="253" spans="1:14" x14ac:dyDescent="0.25">
      <c r="L253" s="273"/>
      <c r="M253" s="273"/>
    </row>
    <row r="254" spans="1:14" x14ac:dyDescent="0.25">
      <c r="L254" s="273"/>
      <c r="M254" s="273"/>
    </row>
    <row r="255" spans="1:14" ht="14.45" customHeight="1" x14ac:dyDescent="0.25">
      <c r="G255" s="108"/>
      <c r="L255" s="273"/>
      <c r="M255" s="273"/>
    </row>
    <row r="256" spans="1:14" x14ac:dyDescent="0.25">
      <c r="E256" s="108"/>
      <c r="L256" s="273"/>
      <c r="M256" s="273"/>
      <c r="N256" s="108"/>
    </row>
    <row r="257" spans="12:13" ht="20.45" customHeight="1" x14ac:dyDescent="0.25">
      <c r="L257" s="273"/>
      <c r="M257" s="273"/>
    </row>
    <row r="258" spans="12:13" x14ac:dyDescent="0.25">
      <c r="L258" s="273"/>
      <c r="M258" s="273"/>
    </row>
    <row r="259" spans="12:13" x14ac:dyDescent="0.25">
      <c r="L259" s="273"/>
      <c r="M259" s="273"/>
    </row>
    <row r="260" spans="12:13" x14ac:dyDescent="0.25">
      <c r="L260" s="273"/>
      <c r="M260" s="273"/>
    </row>
    <row r="261" spans="12:13" x14ac:dyDescent="0.25">
      <c r="L261" s="273"/>
      <c r="M261" s="273"/>
    </row>
    <row r="262" spans="12:13" x14ac:dyDescent="0.25">
      <c r="L262" s="273"/>
      <c r="M262" s="273"/>
    </row>
    <row r="263" spans="12:13" x14ac:dyDescent="0.25">
      <c r="L263" s="273"/>
      <c r="M263" s="273"/>
    </row>
    <row r="264" spans="12:13" x14ac:dyDescent="0.25">
      <c r="L264" s="273"/>
      <c r="M264" s="273"/>
    </row>
    <row r="265" spans="12:13" x14ac:dyDescent="0.25">
      <c r="L265" s="273"/>
      <c r="M265" s="273"/>
    </row>
    <row r="266" spans="12:13" x14ac:dyDescent="0.25">
      <c r="L266" s="273"/>
      <c r="M266" s="273"/>
    </row>
    <row r="267" spans="12:13" x14ac:dyDescent="0.25">
      <c r="L267" s="273"/>
      <c r="M267" s="273"/>
    </row>
    <row r="268" spans="12:13" x14ac:dyDescent="0.25">
      <c r="L268" s="273"/>
      <c r="M268" s="273"/>
    </row>
    <row r="269" spans="12:13" x14ac:dyDescent="0.25">
      <c r="L269" s="273"/>
      <c r="M269" s="273"/>
    </row>
    <row r="270" spans="12:13" x14ac:dyDescent="0.25">
      <c r="L270" s="273"/>
      <c r="M270" s="273"/>
    </row>
    <row r="271" spans="12:13" x14ac:dyDescent="0.25">
      <c r="L271" s="273"/>
      <c r="M271" s="273"/>
    </row>
    <row r="272" spans="12:13" x14ac:dyDescent="0.25">
      <c r="L272" s="273"/>
      <c r="M272" s="273"/>
    </row>
    <row r="273" spans="12:13" x14ac:dyDescent="0.25">
      <c r="L273" s="273"/>
      <c r="M273" s="273"/>
    </row>
    <row r="274" spans="12:13" x14ac:dyDescent="0.25">
      <c r="L274" s="273"/>
      <c r="M274" s="273"/>
    </row>
    <row r="275" spans="12:13" x14ac:dyDescent="0.25">
      <c r="L275" s="273"/>
      <c r="M275" s="273"/>
    </row>
    <row r="276" spans="12:13" x14ac:dyDescent="0.25">
      <c r="L276" s="273"/>
      <c r="M276" s="273"/>
    </row>
    <row r="277" spans="12:13" x14ac:dyDescent="0.25">
      <c r="L277" s="273"/>
      <c r="M277" s="273"/>
    </row>
    <row r="278" spans="12:13" x14ac:dyDescent="0.25">
      <c r="L278" s="273"/>
      <c r="M278" s="273"/>
    </row>
    <row r="279" spans="12:13" x14ac:dyDescent="0.25">
      <c r="L279" s="273"/>
      <c r="M279" s="273"/>
    </row>
    <row r="280" spans="12:13" x14ac:dyDescent="0.25">
      <c r="L280" s="273"/>
      <c r="M280" s="273"/>
    </row>
    <row r="281" spans="12:13" x14ac:dyDescent="0.25">
      <c r="L281" s="273"/>
      <c r="M281" s="273"/>
    </row>
    <row r="282" spans="12:13" x14ac:dyDescent="0.25">
      <c r="L282" s="273"/>
      <c r="M282" s="273"/>
    </row>
    <row r="283" spans="12:13" x14ac:dyDescent="0.25">
      <c r="L283" s="273"/>
      <c r="M283" s="273"/>
    </row>
    <row r="284" spans="12:13" x14ac:dyDescent="0.25">
      <c r="L284" s="273"/>
      <c r="M284" s="273"/>
    </row>
    <row r="285" spans="12:13" x14ac:dyDescent="0.25">
      <c r="L285" s="273"/>
      <c r="M285" s="273"/>
    </row>
    <row r="286" spans="12:13" x14ac:dyDescent="0.25">
      <c r="L286" s="273"/>
      <c r="M286" s="273"/>
    </row>
    <row r="287" spans="12:13" x14ac:dyDescent="0.25">
      <c r="L287" s="273"/>
      <c r="M287" s="273"/>
    </row>
    <row r="288" spans="12:13" x14ac:dyDescent="0.25">
      <c r="L288" s="273"/>
      <c r="M288" s="273"/>
    </row>
    <row r="289" spans="12:13" x14ac:dyDescent="0.25">
      <c r="L289" s="273"/>
      <c r="M289" s="273"/>
    </row>
    <row r="290" spans="12:13" x14ac:dyDescent="0.25">
      <c r="L290" s="273"/>
      <c r="M290" s="273"/>
    </row>
    <row r="291" spans="12:13" x14ac:dyDescent="0.25">
      <c r="L291" s="273"/>
      <c r="M291" s="273"/>
    </row>
    <row r="292" spans="12:13" x14ac:dyDescent="0.25">
      <c r="L292" s="273"/>
      <c r="M292" s="273"/>
    </row>
    <row r="293" spans="12:13" x14ac:dyDescent="0.25">
      <c r="L293" s="273"/>
      <c r="M293" s="273"/>
    </row>
    <row r="294" spans="12:13" x14ac:dyDescent="0.25">
      <c r="L294" s="273"/>
      <c r="M294" s="273"/>
    </row>
    <row r="295" spans="12:13" x14ac:dyDescent="0.25">
      <c r="L295" s="273"/>
      <c r="M295" s="273"/>
    </row>
    <row r="296" spans="12:13" x14ac:dyDescent="0.25">
      <c r="L296" s="273"/>
      <c r="M296" s="273"/>
    </row>
    <row r="297" spans="12:13" x14ac:dyDescent="0.25">
      <c r="L297" s="273"/>
      <c r="M297" s="273"/>
    </row>
    <row r="298" spans="12:13" ht="38.450000000000003" customHeight="1" x14ac:dyDescent="0.25">
      <c r="L298" s="273"/>
      <c r="M298" s="273"/>
    </row>
    <row r="299" spans="12:13" x14ac:dyDescent="0.25">
      <c r="L299" s="273"/>
      <c r="M299" s="273"/>
    </row>
    <row r="300" spans="12:13" ht="45.6" customHeight="1" x14ac:dyDescent="0.25">
      <c r="L300" s="273"/>
      <c r="M300" s="273"/>
    </row>
    <row r="301" spans="12:13" x14ac:dyDescent="0.25">
      <c r="L301" s="273"/>
      <c r="M301" s="273"/>
    </row>
    <row r="302" spans="12:13" x14ac:dyDescent="0.25">
      <c r="L302" s="273"/>
      <c r="M302" s="273"/>
    </row>
    <row r="303" spans="12:13" x14ac:dyDescent="0.25">
      <c r="L303" s="273"/>
      <c r="M303" s="273"/>
    </row>
    <row r="304" spans="12:13" x14ac:dyDescent="0.25">
      <c r="L304" s="273"/>
      <c r="M304" s="273"/>
    </row>
    <row r="305" spans="12:14" x14ac:dyDescent="0.25">
      <c r="L305" s="273"/>
      <c r="M305" s="273"/>
    </row>
    <row r="306" spans="12:14" x14ac:dyDescent="0.25">
      <c r="L306" s="273"/>
      <c r="M306" s="273"/>
    </row>
    <row r="307" spans="12:14" x14ac:dyDescent="0.25">
      <c r="L307" s="273"/>
      <c r="M307" s="273"/>
    </row>
    <row r="308" spans="12:14" x14ac:dyDescent="0.25">
      <c r="L308" s="273"/>
      <c r="M308" s="273"/>
    </row>
    <row r="309" spans="12:14" x14ac:dyDescent="0.25">
      <c r="L309" s="273"/>
      <c r="M309" s="273"/>
      <c r="N309" s="108"/>
    </row>
    <row r="310" spans="12:14" x14ac:dyDescent="0.25">
      <c r="L310" s="273"/>
      <c r="M310" s="273"/>
    </row>
    <row r="311" spans="12:14" x14ac:dyDescent="0.25">
      <c r="L311" s="273"/>
      <c r="M311" s="273"/>
    </row>
    <row r="312" spans="12:14" x14ac:dyDescent="0.25">
      <c r="L312" s="273"/>
      <c r="M312" s="273"/>
    </row>
    <row r="313" spans="12:14" x14ac:dyDescent="0.25">
      <c r="L313" s="273"/>
      <c r="M313" s="273"/>
    </row>
    <row r="314" spans="12:14" x14ac:dyDescent="0.25">
      <c r="L314" s="273"/>
      <c r="M314" s="273"/>
    </row>
    <row r="315" spans="12:14" x14ac:dyDescent="0.25">
      <c r="L315" s="273"/>
      <c r="M315" s="273"/>
    </row>
    <row r="316" spans="12:14" x14ac:dyDescent="0.25">
      <c r="L316" s="273"/>
      <c r="M316" s="273"/>
    </row>
    <row r="317" spans="12:14" x14ac:dyDescent="0.25">
      <c r="L317" s="273"/>
      <c r="M317" s="273"/>
    </row>
    <row r="318" spans="12:14" x14ac:dyDescent="0.25">
      <c r="L318" s="273"/>
      <c r="M318" s="273"/>
    </row>
    <row r="319" spans="12:14" x14ac:dyDescent="0.25">
      <c r="L319" s="273"/>
      <c r="M319" s="273"/>
    </row>
    <row r="320" spans="12:14" x14ac:dyDescent="0.25">
      <c r="L320" s="273"/>
      <c r="M320" s="273"/>
    </row>
    <row r="321" spans="12:14" x14ac:dyDescent="0.25">
      <c r="L321" s="273"/>
      <c r="M321" s="273"/>
      <c r="N321" s="108"/>
    </row>
    <row r="322" spans="12:14" x14ac:dyDescent="0.25">
      <c r="L322" s="273"/>
      <c r="M322" s="273"/>
    </row>
    <row r="323" spans="12:14" x14ac:dyDescent="0.25">
      <c r="L323" s="273"/>
      <c r="M323" s="273"/>
    </row>
    <row r="324" spans="12:14" x14ac:dyDescent="0.25">
      <c r="L324" s="273"/>
      <c r="M324" s="273"/>
    </row>
    <row r="325" spans="12:14" x14ac:dyDescent="0.25">
      <c r="L325" s="273"/>
      <c r="M325" s="273"/>
    </row>
    <row r="326" spans="12:14" x14ac:dyDescent="0.25">
      <c r="L326" s="273"/>
      <c r="M326" s="273"/>
    </row>
    <row r="327" spans="12:14" x14ac:dyDescent="0.25">
      <c r="L327" s="273"/>
      <c r="M327" s="273"/>
    </row>
    <row r="328" spans="12:14" x14ac:dyDescent="0.25">
      <c r="L328" s="273"/>
      <c r="M328" s="273"/>
    </row>
    <row r="329" spans="12:14" x14ac:dyDescent="0.25">
      <c r="L329" s="273"/>
      <c r="M329" s="273"/>
    </row>
    <row r="330" spans="12:14" x14ac:dyDescent="0.25">
      <c r="L330" s="273"/>
      <c r="M330" s="273"/>
    </row>
    <row r="331" spans="12:14" x14ac:dyDescent="0.25">
      <c r="L331" s="273"/>
      <c r="M331" s="273"/>
    </row>
    <row r="332" spans="12:14" x14ac:dyDescent="0.25">
      <c r="L332" s="273"/>
      <c r="M332" s="273"/>
    </row>
    <row r="333" spans="12:14" x14ac:dyDescent="0.25">
      <c r="L333" s="273"/>
      <c r="M333" s="273"/>
    </row>
    <row r="334" spans="12:14" x14ac:dyDescent="0.25">
      <c r="L334" s="273"/>
      <c r="M334" s="273"/>
    </row>
    <row r="335" spans="12:14" x14ac:dyDescent="0.25">
      <c r="L335" s="273"/>
      <c r="M335" s="273"/>
    </row>
    <row r="336" spans="12:14" x14ac:dyDescent="0.25">
      <c r="L336" s="273"/>
      <c r="M336" s="273"/>
    </row>
    <row r="337" spans="12:14" x14ac:dyDescent="0.25">
      <c r="L337" s="273"/>
      <c r="M337" s="273"/>
    </row>
    <row r="338" spans="12:14" x14ac:dyDescent="0.25">
      <c r="L338" s="273"/>
      <c r="M338" s="273"/>
    </row>
    <row r="339" spans="12:14" x14ac:dyDescent="0.25">
      <c r="L339" s="273"/>
      <c r="M339" s="273"/>
    </row>
    <row r="340" spans="12:14" x14ac:dyDescent="0.25">
      <c r="L340" s="273"/>
      <c r="M340" s="273"/>
    </row>
    <row r="341" spans="12:14" x14ac:dyDescent="0.25">
      <c r="L341" s="273"/>
      <c r="M341" s="273"/>
    </row>
    <row r="342" spans="12:14" x14ac:dyDescent="0.25">
      <c r="L342" s="273"/>
      <c r="M342" s="273"/>
    </row>
    <row r="343" spans="12:14" x14ac:dyDescent="0.25">
      <c r="L343" s="273"/>
      <c r="M343" s="273"/>
    </row>
    <row r="344" spans="12:14" x14ac:dyDescent="0.25">
      <c r="L344" s="273"/>
      <c r="M344" s="273"/>
    </row>
    <row r="345" spans="12:14" x14ac:dyDescent="0.25">
      <c r="L345" s="273"/>
      <c r="M345" s="273"/>
    </row>
    <row r="346" spans="12:14" x14ac:dyDescent="0.25">
      <c r="L346" s="273"/>
      <c r="M346" s="273"/>
    </row>
    <row r="347" spans="12:14" x14ac:dyDescent="0.25">
      <c r="L347" s="273"/>
      <c r="M347" s="273"/>
    </row>
    <row r="348" spans="12:14" x14ac:dyDescent="0.25">
      <c r="L348" s="273"/>
      <c r="M348" s="273"/>
    </row>
    <row r="349" spans="12:14" x14ac:dyDescent="0.25">
      <c r="L349" s="273"/>
      <c r="M349" s="273"/>
      <c r="N349" s="108"/>
    </row>
    <row r="350" spans="12:14" x14ac:dyDescent="0.25">
      <c r="L350" s="273"/>
      <c r="M350" s="273"/>
    </row>
    <row r="351" spans="12:14" x14ac:dyDescent="0.25">
      <c r="L351" s="273"/>
      <c r="M351" s="273"/>
    </row>
    <row r="352" spans="12:14" x14ac:dyDescent="0.25">
      <c r="L352" s="273"/>
      <c r="M352" s="273"/>
    </row>
    <row r="353" spans="12:13" x14ac:dyDescent="0.25">
      <c r="L353" s="273"/>
      <c r="M353" s="273"/>
    </row>
    <row r="354" spans="12:13" x14ac:dyDescent="0.25">
      <c r="L354" s="273"/>
      <c r="M354" s="273"/>
    </row>
    <row r="355" spans="12:13" x14ac:dyDescent="0.25">
      <c r="L355" s="273"/>
      <c r="M355" s="273"/>
    </row>
    <row r="356" spans="12:13" x14ac:dyDescent="0.25">
      <c r="L356" s="273"/>
      <c r="M356" s="273"/>
    </row>
    <row r="357" spans="12:13" x14ac:dyDescent="0.25">
      <c r="L357" s="273"/>
      <c r="M357" s="273"/>
    </row>
    <row r="358" spans="12:13" x14ac:dyDescent="0.25">
      <c r="L358" s="273"/>
      <c r="M358" s="273"/>
    </row>
    <row r="359" spans="12:13" x14ac:dyDescent="0.25">
      <c r="L359" s="273"/>
      <c r="M359" s="273"/>
    </row>
    <row r="360" spans="12:13" x14ac:dyDescent="0.25">
      <c r="L360" s="273"/>
      <c r="M360" s="273"/>
    </row>
    <row r="361" spans="12:13" x14ac:dyDescent="0.25">
      <c r="L361" s="273"/>
      <c r="M361" s="273"/>
    </row>
    <row r="362" spans="12:13" x14ac:dyDescent="0.25">
      <c r="L362" s="273"/>
      <c r="M362" s="273"/>
    </row>
    <row r="363" spans="12:13" x14ac:dyDescent="0.25">
      <c r="L363" s="273"/>
      <c r="M363" s="273"/>
    </row>
    <row r="364" spans="12:13" x14ac:dyDescent="0.25">
      <c r="L364" s="273"/>
      <c r="M364" s="273"/>
    </row>
    <row r="365" spans="12:13" x14ac:dyDescent="0.25">
      <c r="L365" s="273"/>
      <c r="M365" s="273"/>
    </row>
    <row r="366" spans="12:13" x14ac:dyDescent="0.25">
      <c r="L366" s="273"/>
      <c r="M366" s="273"/>
    </row>
    <row r="367" spans="12:13" x14ac:dyDescent="0.25">
      <c r="L367" s="273"/>
      <c r="M367" s="273"/>
    </row>
    <row r="368" spans="12:13" x14ac:dyDescent="0.25">
      <c r="L368" s="273"/>
      <c r="M368" s="273"/>
    </row>
    <row r="369" spans="12:13" x14ac:dyDescent="0.25">
      <c r="L369" s="273"/>
      <c r="M369" s="273"/>
    </row>
    <row r="370" spans="12:13" x14ac:dyDescent="0.25">
      <c r="L370" s="273"/>
      <c r="M370" s="273"/>
    </row>
    <row r="371" spans="12:13" x14ac:dyDescent="0.25">
      <c r="L371" s="273"/>
      <c r="M371" s="273"/>
    </row>
    <row r="372" spans="12:13" ht="34.9" customHeight="1" x14ac:dyDescent="0.25">
      <c r="L372" s="273"/>
      <c r="M372" s="273"/>
    </row>
    <row r="373" spans="12:13" x14ac:dyDescent="0.25">
      <c r="L373" s="273"/>
      <c r="M373" s="273"/>
    </row>
    <row r="374" spans="12:13" ht="34.9" customHeight="1" x14ac:dyDescent="0.25">
      <c r="L374" s="273"/>
      <c r="M374" s="273"/>
    </row>
    <row r="375" spans="12:13" x14ac:dyDescent="0.25">
      <c r="L375" s="273"/>
      <c r="M375" s="273"/>
    </row>
    <row r="376" spans="12:13" x14ac:dyDescent="0.25">
      <c r="L376" s="273"/>
      <c r="M376" s="273"/>
    </row>
    <row r="377" spans="12:13" x14ac:dyDescent="0.25">
      <c r="L377" s="273"/>
      <c r="M377" s="273"/>
    </row>
    <row r="378" spans="12:13" x14ac:dyDescent="0.25">
      <c r="L378" s="273"/>
      <c r="M378" s="273"/>
    </row>
    <row r="379" spans="12:13" x14ac:dyDescent="0.25">
      <c r="L379" s="273"/>
      <c r="M379" s="273"/>
    </row>
    <row r="380" spans="12:13" x14ac:dyDescent="0.25">
      <c r="L380" s="273"/>
      <c r="M380" s="273"/>
    </row>
    <row r="381" spans="12:13" x14ac:dyDescent="0.25">
      <c r="L381" s="273"/>
      <c r="M381" s="273"/>
    </row>
    <row r="382" spans="12:13" x14ac:dyDescent="0.25">
      <c r="L382" s="273"/>
      <c r="M382" s="273"/>
    </row>
    <row r="383" spans="12:13" x14ac:dyDescent="0.25">
      <c r="L383" s="273"/>
      <c r="M383" s="273"/>
    </row>
    <row r="384" spans="12:13" ht="34.9" customHeight="1" x14ac:dyDescent="0.25">
      <c r="L384" s="273"/>
      <c r="M384" s="273"/>
    </row>
    <row r="385" spans="12:13" ht="30" customHeight="1" x14ac:dyDescent="0.25">
      <c r="L385" s="273"/>
      <c r="M385" s="273"/>
    </row>
    <row r="386" spans="12:13" x14ac:dyDescent="0.25">
      <c r="L386" s="273"/>
      <c r="M386" s="273"/>
    </row>
    <row r="387" spans="12:13" x14ac:dyDescent="0.25">
      <c r="L387" s="273"/>
      <c r="M387" s="273"/>
    </row>
    <row r="388" spans="12:13" x14ac:dyDescent="0.25">
      <c r="L388" s="273"/>
      <c r="M388" s="273"/>
    </row>
    <row r="389" spans="12:13" x14ac:dyDescent="0.25">
      <c r="L389" s="273"/>
      <c r="M389" s="273"/>
    </row>
    <row r="390" spans="12:13" x14ac:dyDescent="0.25">
      <c r="L390" s="273"/>
      <c r="M390" s="273"/>
    </row>
    <row r="391" spans="12:13" x14ac:dyDescent="0.25">
      <c r="L391" s="273"/>
      <c r="M391" s="273"/>
    </row>
    <row r="392" spans="12:13" x14ac:dyDescent="0.25">
      <c r="L392" s="273"/>
      <c r="M392" s="273"/>
    </row>
    <row r="393" spans="12:13" x14ac:dyDescent="0.25">
      <c r="L393" s="273"/>
      <c r="M393" s="273"/>
    </row>
    <row r="394" spans="12:13" x14ac:dyDescent="0.25">
      <c r="L394" s="273"/>
      <c r="M394" s="273"/>
    </row>
    <row r="395" spans="12:13" x14ac:dyDescent="0.25">
      <c r="L395" s="273"/>
      <c r="M395" s="273"/>
    </row>
    <row r="396" spans="12:13" x14ac:dyDescent="0.25">
      <c r="L396" s="273"/>
      <c r="M396" s="273"/>
    </row>
    <row r="397" spans="12:13" x14ac:dyDescent="0.25">
      <c r="L397" s="273"/>
      <c r="M397" s="273"/>
    </row>
    <row r="398" spans="12:13" x14ac:dyDescent="0.25">
      <c r="L398" s="273"/>
      <c r="M398" s="273"/>
    </row>
    <row r="399" spans="12:13" x14ac:dyDescent="0.25">
      <c r="L399" s="273"/>
      <c r="M399" s="273"/>
    </row>
    <row r="400" spans="12:13" x14ac:dyDescent="0.25">
      <c r="L400" s="273"/>
      <c r="M400" s="273"/>
    </row>
    <row r="401" spans="12:13" x14ac:dyDescent="0.25">
      <c r="L401" s="273"/>
      <c r="M401" s="273"/>
    </row>
    <row r="402" spans="12:13" x14ac:dyDescent="0.25">
      <c r="L402" s="273"/>
      <c r="M402" s="273"/>
    </row>
    <row r="403" spans="12:13" x14ac:dyDescent="0.25">
      <c r="L403" s="273"/>
      <c r="M403" s="273"/>
    </row>
    <row r="404" spans="12:13" x14ac:dyDescent="0.25">
      <c r="L404" s="273"/>
      <c r="M404" s="273"/>
    </row>
    <row r="405" spans="12:13" x14ac:dyDescent="0.25">
      <c r="L405" s="273"/>
      <c r="M405" s="273"/>
    </row>
    <row r="406" spans="12:13" x14ac:dyDescent="0.25">
      <c r="L406" s="273"/>
      <c r="M406" s="273"/>
    </row>
    <row r="407" spans="12:13" x14ac:dyDescent="0.25">
      <c r="L407" s="273"/>
      <c r="M407" s="273"/>
    </row>
    <row r="408" spans="12:13" x14ac:dyDescent="0.25">
      <c r="L408" s="273"/>
      <c r="M408" s="273"/>
    </row>
    <row r="409" spans="12:13" x14ac:dyDescent="0.25">
      <c r="L409" s="273"/>
      <c r="M409" s="273"/>
    </row>
    <row r="410" spans="12:13" x14ac:dyDescent="0.25">
      <c r="L410" s="273"/>
      <c r="M410" s="273"/>
    </row>
    <row r="411" spans="12:13" x14ac:dyDescent="0.25">
      <c r="L411" s="273"/>
      <c r="M411" s="273"/>
    </row>
    <row r="412" spans="12:13" x14ac:dyDescent="0.25">
      <c r="L412" s="273"/>
      <c r="M412" s="273"/>
    </row>
    <row r="413" spans="12:13" x14ac:dyDescent="0.25">
      <c r="L413" s="273"/>
      <c r="M413" s="273"/>
    </row>
    <row r="414" spans="12:13" x14ac:dyDescent="0.25">
      <c r="L414" s="273"/>
      <c r="M414" s="273"/>
    </row>
    <row r="415" spans="12:13" x14ac:dyDescent="0.25">
      <c r="L415" s="273"/>
      <c r="M415" s="273"/>
    </row>
    <row r="416" spans="12:13" x14ac:dyDescent="0.25">
      <c r="L416" s="273"/>
      <c r="M416" s="273"/>
    </row>
    <row r="417" spans="12:13" x14ac:dyDescent="0.25">
      <c r="L417" s="273"/>
      <c r="M417" s="273"/>
    </row>
    <row r="418" spans="12:13" x14ac:dyDescent="0.25">
      <c r="L418" s="273"/>
      <c r="M418" s="273"/>
    </row>
    <row r="419" spans="12:13" x14ac:dyDescent="0.25">
      <c r="L419" s="273"/>
      <c r="M419" s="273"/>
    </row>
    <row r="420" spans="12:13" x14ac:dyDescent="0.25">
      <c r="L420" s="273"/>
      <c r="M420" s="273"/>
    </row>
    <row r="421" spans="12:13" x14ac:dyDescent="0.25">
      <c r="L421" s="273"/>
      <c r="M421" s="273"/>
    </row>
    <row r="422" spans="12:13" x14ac:dyDescent="0.25">
      <c r="L422" s="273"/>
      <c r="M422" s="273"/>
    </row>
    <row r="423" spans="12:13" x14ac:dyDescent="0.25">
      <c r="L423" s="273"/>
      <c r="M423" s="273"/>
    </row>
    <row r="424" spans="12:13" x14ac:dyDescent="0.25">
      <c r="L424" s="273"/>
      <c r="M424" s="273"/>
    </row>
    <row r="425" spans="12:13" x14ac:dyDescent="0.25">
      <c r="L425" s="273"/>
      <c r="M425" s="273"/>
    </row>
    <row r="426" spans="12:13" x14ac:dyDescent="0.25">
      <c r="L426" s="273"/>
      <c r="M426" s="273"/>
    </row>
    <row r="427" spans="12:13" x14ac:dyDescent="0.25">
      <c r="L427" s="273"/>
      <c r="M427" s="273"/>
    </row>
    <row r="428" spans="12:13" x14ac:dyDescent="0.25">
      <c r="L428" s="273"/>
      <c r="M428" s="273"/>
    </row>
    <row r="429" spans="12:13" x14ac:dyDescent="0.25">
      <c r="L429" s="273"/>
      <c r="M429" s="273"/>
    </row>
    <row r="430" spans="12:13" x14ac:dyDescent="0.25">
      <c r="L430" s="273"/>
      <c r="M430" s="273"/>
    </row>
    <row r="431" spans="12:13" x14ac:dyDescent="0.25">
      <c r="L431" s="273"/>
      <c r="M431" s="273"/>
    </row>
    <row r="432" spans="12:13" x14ac:dyDescent="0.25">
      <c r="L432" s="273"/>
      <c r="M432" s="273"/>
    </row>
    <row r="433" spans="12:13" x14ac:dyDescent="0.25">
      <c r="L433" s="273"/>
      <c r="M433" s="273"/>
    </row>
    <row r="434" spans="12:13" x14ac:dyDescent="0.25">
      <c r="L434" s="273"/>
      <c r="M434" s="273"/>
    </row>
    <row r="435" spans="12:13" x14ac:dyDescent="0.25">
      <c r="L435" s="273"/>
      <c r="M435" s="273"/>
    </row>
    <row r="436" spans="12:13" x14ac:dyDescent="0.25">
      <c r="L436" s="273"/>
      <c r="M436" s="273"/>
    </row>
    <row r="437" spans="12:13" x14ac:dyDescent="0.25">
      <c r="L437" s="273"/>
      <c r="M437" s="273"/>
    </row>
    <row r="438" spans="12:13" x14ac:dyDescent="0.25">
      <c r="L438" s="273"/>
      <c r="M438" s="273"/>
    </row>
    <row r="439" spans="12:13" x14ac:dyDescent="0.25">
      <c r="L439" s="273"/>
      <c r="M439" s="273"/>
    </row>
    <row r="440" spans="12:13" x14ac:dyDescent="0.25">
      <c r="L440" s="273"/>
      <c r="M440" s="273"/>
    </row>
    <row r="441" spans="12:13" x14ac:dyDescent="0.25">
      <c r="L441" s="273"/>
      <c r="M441" s="273"/>
    </row>
    <row r="442" spans="12:13" x14ac:dyDescent="0.25">
      <c r="L442" s="273"/>
      <c r="M442" s="273"/>
    </row>
    <row r="443" spans="12:13" x14ac:dyDescent="0.25">
      <c r="L443" s="273"/>
      <c r="M443" s="273"/>
    </row>
    <row r="444" spans="12:13" x14ac:dyDescent="0.25">
      <c r="L444" s="273"/>
      <c r="M444" s="273"/>
    </row>
    <row r="445" spans="12:13" x14ac:dyDescent="0.25">
      <c r="L445" s="273"/>
      <c r="M445" s="273"/>
    </row>
    <row r="446" spans="12:13" x14ac:dyDescent="0.25">
      <c r="L446" s="273"/>
      <c r="M446" s="273"/>
    </row>
    <row r="447" spans="12:13" x14ac:dyDescent="0.25">
      <c r="L447" s="273"/>
      <c r="M447" s="273"/>
    </row>
    <row r="448" spans="12:13" x14ac:dyDescent="0.25">
      <c r="L448" s="273"/>
      <c r="M448" s="273"/>
    </row>
    <row r="449" spans="12:13" x14ac:dyDescent="0.25">
      <c r="L449" s="273"/>
      <c r="M449" s="273"/>
    </row>
    <row r="450" spans="12:13" x14ac:dyDescent="0.25">
      <c r="L450" s="273"/>
      <c r="M450" s="273"/>
    </row>
    <row r="451" spans="12:13" x14ac:dyDescent="0.25">
      <c r="L451" s="273"/>
      <c r="M451" s="273"/>
    </row>
    <row r="452" spans="12:13" x14ac:dyDescent="0.25">
      <c r="L452" s="273"/>
      <c r="M452" s="273"/>
    </row>
    <row r="453" spans="12:13" x14ac:dyDescent="0.25">
      <c r="L453" s="273"/>
      <c r="M453" s="273"/>
    </row>
    <row r="454" spans="12:13" x14ac:dyDescent="0.25">
      <c r="L454" s="273"/>
      <c r="M454" s="273"/>
    </row>
    <row r="455" spans="12:13" x14ac:dyDescent="0.25">
      <c r="L455" s="273"/>
      <c r="M455" s="273"/>
    </row>
    <row r="456" spans="12:13" x14ac:dyDescent="0.25">
      <c r="L456" s="273"/>
      <c r="M456" s="273"/>
    </row>
    <row r="457" spans="12:13" x14ac:dyDescent="0.25">
      <c r="L457" s="273"/>
      <c r="M457" s="273"/>
    </row>
    <row r="458" spans="12:13" x14ac:dyDescent="0.25">
      <c r="L458" s="273"/>
      <c r="M458" s="273"/>
    </row>
    <row r="459" spans="12:13" x14ac:dyDescent="0.25">
      <c r="L459" s="273"/>
      <c r="M459" s="273"/>
    </row>
    <row r="460" spans="12:13" x14ac:dyDescent="0.25">
      <c r="L460" s="273"/>
      <c r="M460" s="273"/>
    </row>
    <row r="461" spans="12:13" x14ac:dyDescent="0.25">
      <c r="L461" s="273"/>
      <c r="M461" s="273"/>
    </row>
    <row r="462" spans="12:13" x14ac:dyDescent="0.25">
      <c r="L462" s="273"/>
      <c r="M462" s="273"/>
    </row>
    <row r="463" spans="12:13" x14ac:dyDescent="0.25">
      <c r="L463" s="273"/>
      <c r="M463" s="273"/>
    </row>
    <row r="464" spans="12:13" x14ac:dyDescent="0.25">
      <c r="L464" s="273"/>
      <c r="M464" s="273"/>
    </row>
    <row r="465" spans="12:13" x14ac:dyDescent="0.25">
      <c r="L465" s="273"/>
      <c r="M465" s="273"/>
    </row>
    <row r="466" spans="12:13" x14ac:dyDescent="0.25">
      <c r="L466" s="273"/>
      <c r="M466" s="273"/>
    </row>
    <row r="467" spans="12:13" x14ac:dyDescent="0.25">
      <c r="L467" s="273"/>
      <c r="M467" s="273"/>
    </row>
    <row r="468" spans="12:13" x14ac:dyDescent="0.25">
      <c r="L468" s="273"/>
      <c r="M468" s="273"/>
    </row>
    <row r="469" spans="12:13" x14ac:dyDescent="0.25">
      <c r="L469" s="273"/>
      <c r="M469" s="273"/>
    </row>
    <row r="470" spans="12:13" x14ac:dyDescent="0.25">
      <c r="L470" s="273"/>
      <c r="M470" s="273"/>
    </row>
    <row r="471" spans="12:13" x14ac:dyDescent="0.25">
      <c r="L471" s="273"/>
      <c r="M471" s="273"/>
    </row>
    <row r="472" spans="12:13" x14ac:dyDescent="0.25">
      <c r="L472" s="273"/>
      <c r="M472" s="273"/>
    </row>
    <row r="473" spans="12:13" x14ac:dyDescent="0.25">
      <c r="L473" s="273"/>
      <c r="M473" s="273"/>
    </row>
    <row r="474" spans="12:13" x14ac:dyDescent="0.25">
      <c r="L474" s="273"/>
      <c r="M474" s="273"/>
    </row>
    <row r="475" spans="12:13" x14ac:dyDescent="0.25">
      <c r="L475" s="273"/>
      <c r="M475" s="273"/>
    </row>
    <row r="476" spans="12:13" x14ac:dyDescent="0.25">
      <c r="L476" s="273"/>
      <c r="M476" s="273"/>
    </row>
    <row r="477" spans="12:13" x14ac:dyDescent="0.25">
      <c r="L477" s="273"/>
      <c r="M477" s="273"/>
    </row>
    <row r="478" spans="12:13" x14ac:dyDescent="0.25">
      <c r="L478" s="273"/>
      <c r="M478" s="273"/>
    </row>
    <row r="479" spans="12:13" x14ac:dyDescent="0.25">
      <c r="L479" s="273"/>
      <c r="M479" s="273"/>
    </row>
    <row r="480" spans="12:13" x14ac:dyDescent="0.25">
      <c r="L480" s="273"/>
      <c r="M480" s="273"/>
    </row>
    <row r="481" spans="12:13" x14ac:dyDescent="0.25">
      <c r="L481" s="273"/>
      <c r="M481" s="273"/>
    </row>
    <row r="482" spans="12:13" x14ac:dyDescent="0.25">
      <c r="L482" s="273"/>
      <c r="M482" s="273"/>
    </row>
    <row r="483" spans="12:13" x14ac:dyDescent="0.25">
      <c r="L483" s="273"/>
      <c r="M483" s="273"/>
    </row>
    <row r="484" spans="12:13" x14ac:dyDescent="0.25">
      <c r="L484" s="273"/>
      <c r="M484" s="273"/>
    </row>
    <row r="485" spans="12:13" x14ac:dyDescent="0.25">
      <c r="L485" s="273"/>
      <c r="M485" s="273"/>
    </row>
    <row r="486" spans="12:13" x14ac:dyDescent="0.25">
      <c r="L486" s="273"/>
      <c r="M486" s="273"/>
    </row>
    <row r="487" spans="12:13" x14ac:dyDescent="0.25">
      <c r="L487" s="273"/>
      <c r="M487" s="273"/>
    </row>
    <row r="488" spans="12:13" x14ac:dyDescent="0.25">
      <c r="L488" s="273"/>
      <c r="M488" s="273"/>
    </row>
    <row r="489" spans="12:13" x14ac:dyDescent="0.25">
      <c r="L489" s="273"/>
      <c r="M489" s="273"/>
    </row>
    <row r="490" spans="12:13" x14ac:dyDescent="0.25">
      <c r="L490" s="273"/>
      <c r="M490" s="273"/>
    </row>
    <row r="491" spans="12:13" x14ac:dyDescent="0.25">
      <c r="L491" s="273"/>
      <c r="M491" s="273"/>
    </row>
    <row r="492" spans="12:13" x14ac:dyDescent="0.25">
      <c r="L492" s="273"/>
      <c r="M492" s="273"/>
    </row>
    <row r="493" spans="12:13" x14ac:dyDescent="0.25">
      <c r="L493" s="273"/>
      <c r="M493" s="273"/>
    </row>
    <row r="494" spans="12:13" x14ac:dyDescent="0.25">
      <c r="L494" s="273"/>
      <c r="M494" s="273"/>
    </row>
    <row r="495" spans="12:13" x14ac:dyDescent="0.25">
      <c r="L495" s="273"/>
      <c r="M495" s="273"/>
    </row>
    <row r="496" spans="12:13" x14ac:dyDescent="0.25">
      <c r="L496" s="273"/>
      <c r="M496" s="273"/>
    </row>
    <row r="497" spans="12:13" x14ac:dyDescent="0.25">
      <c r="L497" s="273"/>
      <c r="M497" s="273"/>
    </row>
    <row r="498" spans="12:13" x14ac:dyDescent="0.25">
      <c r="L498" s="273"/>
      <c r="M498" s="273"/>
    </row>
    <row r="499" spans="12:13" x14ac:dyDescent="0.25">
      <c r="L499" s="273"/>
      <c r="M499" s="273"/>
    </row>
    <row r="500" spans="12:13" x14ac:dyDescent="0.25">
      <c r="L500" s="273"/>
      <c r="M500" s="273"/>
    </row>
    <row r="501" spans="12:13" x14ac:dyDescent="0.25">
      <c r="L501" s="273"/>
      <c r="M501" s="273"/>
    </row>
    <row r="502" spans="12:13" x14ac:dyDescent="0.25">
      <c r="L502" s="273"/>
      <c r="M502" s="273"/>
    </row>
    <row r="503" spans="12:13" x14ac:dyDescent="0.25">
      <c r="L503" s="273"/>
      <c r="M503" s="273"/>
    </row>
    <row r="504" spans="12:13" x14ac:dyDescent="0.25">
      <c r="L504" s="273"/>
      <c r="M504" s="273"/>
    </row>
    <row r="505" spans="12:13" x14ac:dyDescent="0.25">
      <c r="L505" s="273"/>
      <c r="M505" s="273"/>
    </row>
    <row r="506" spans="12:13" x14ac:dyDescent="0.25">
      <c r="L506" s="273"/>
      <c r="M506" s="273"/>
    </row>
    <row r="507" spans="12:13" x14ac:dyDescent="0.25">
      <c r="L507" s="273"/>
      <c r="M507" s="273"/>
    </row>
    <row r="508" spans="12:13" x14ac:dyDescent="0.25">
      <c r="L508" s="273"/>
      <c r="M508" s="273"/>
    </row>
    <row r="509" spans="12:13" x14ac:dyDescent="0.25">
      <c r="L509" s="273"/>
      <c r="M509" s="273"/>
    </row>
    <row r="510" spans="12:13" x14ac:dyDescent="0.25">
      <c r="L510" s="273"/>
      <c r="M510" s="273"/>
    </row>
    <row r="511" spans="12:13" x14ac:dyDescent="0.25">
      <c r="L511" s="273"/>
      <c r="M511" s="273"/>
    </row>
    <row r="512" spans="12:13" x14ac:dyDescent="0.25">
      <c r="L512" s="273"/>
      <c r="M512" s="273"/>
    </row>
    <row r="513" spans="12:13" x14ac:dyDescent="0.25">
      <c r="L513" s="273"/>
      <c r="M513" s="273"/>
    </row>
    <row r="514" spans="12:13" x14ac:dyDescent="0.25">
      <c r="L514" s="273"/>
      <c r="M514" s="273"/>
    </row>
    <row r="515" spans="12:13" x14ac:dyDescent="0.25">
      <c r="L515" s="273"/>
      <c r="M515" s="273"/>
    </row>
    <row r="516" spans="12:13" x14ac:dyDescent="0.25">
      <c r="L516" s="273"/>
      <c r="M516" s="273"/>
    </row>
    <row r="517" spans="12:13" x14ac:dyDescent="0.25">
      <c r="L517" s="273"/>
      <c r="M517" s="273"/>
    </row>
    <row r="518" spans="12:13" x14ac:dyDescent="0.25">
      <c r="L518" s="273"/>
      <c r="M518" s="273"/>
    </row>
    <row r="519" spans="12:13" x14ac:dyDescent="0.25">
      <c r="L519" s="273"/>
      <c r="M519" s="273"/>
    </row>
    <row r="520" spans="12:13" x14ac:dyDescent="0.25">
      <c r="L520" s="273"/>
      <c r="M520" s="273"/>
    </row>
    <row r="521" spans="12:13" x14ac:dyDescent="0.25">
      <c r="L521" s="273"/>
      <c r="M521" s="273"/>
    </row>
    <row r="522" spans="12:13" x14ac:dyDescent="0.25">
      <c r="L522" s="273"/>
      <c r="M522" s="273"/>
    </row>
    <row r="523" spans="12:13" x14ac:dyDescent="0.25">
      <c r="L523" s="273"/>
      <c r="M523" s="273"/>
    </row>
    <row r="524" spans="12:13" x14ac:dyDescent="0.25">
      <c r="L524" s="273"/>
      <c r="M524" s="273"/>
    </row>
    <row r="525" spans="12:13" x14ac:dyDescent="0.25">
      <c r="L525" s="273"/>
      <c r="M525" s="273"/>
    </row>
    <row r="526" spans="12:13" x14ac:dyDescent="0.25">
      <c r="L526" s="273"/>
      <c r="M526" s="273"/>
    </row>
    <row r="527" spans="12:13" x14ac:dyDescent="0.25">
      <c r="L527" s="273"/>
      <c r="M527" s="273"/>
    </row>
    <row r="528" spans="12:13" x14ac:dyDescent="0.25">
      <c r="L528" s="273"/>
      <c r="M528" s="273"/>
    </row>
    <row r="529" spans="12:13" x14ac:dyDescent="0.25">
      <c r="L529" s="273"/>
      <c r="M529" s="273"/>
    </row>
    <row r="530" spans="12:13" x14ac:dyDescent="0.25">
      <c r="L530" s="273"/>
      <c r="M530" s="273"/>
    </row>
    <row r="531" spans="12:13" x14ac:dyDescent="0.25">
      <c r="L531" s="273"/>
      <c r="M531" s="273"/>
    </row>
    <row r="532" spans="12:13" x14ac:dyDescent="0.25">
      <c r="L532" s="273"/>
      <c r="M532" s="273"/>
    </row>
    <row r="533" spans="12:13" x14ac:dyDescent="0.25">
      <c r="L533" s="273"/>
      <c r="M533" s="273"/>
    </row>
    <row r="534" spans="12:13" x14ac:dyDescent="0.25">
      <c r="L534" s="273"/>
      <c r="M534" s="273"/>
    </row>
    <row r="535" spans="12:13" x14ac:dyDescent="0.25">
      <c r="L535" s="273"/>
      <c r="M535" s="273"/>
    </row>
    <row r="536" spans="12:13" x14ac:dyDescent="0.25">
      <c r="L536" s="273"/>
      <c r="M536" s="273"/>
    </row>
    <row r="537" spans="12:13" x14ac:dyDescent="0.25">
      <c r="L537" s="273"/>
      <c r="M537" s="273"/>
    </row>
    <row r="538" spans="12:13" x14ac:dyDescent="0.25">
      <c r="L538" s="273"/>
      <c r="M538" s="273"/>
    </row>
    <row r="539" spans="12:13" x14ac:dyDescent="0.25">
      <c r="L539" s="273"/>
      <c r="M539" s="273"/>
    </row>
    <row r="540" spans="12:13" x14ac:dyDescent="0.25">
      <c r="L540" s="273"/>
      <c r="M540" s="273"/>
    </row>
    <row r="541" spans="12:13" x14ac:dyDescent="0.25">
      <c r="L541" s="273"/>
      <c r="M541" s="273"/>
    </row>
    <row r="542" spans="12:13" x14ac:dyDescent="0.25">
      <c r="L542" s="273"/>
      <c r="M542" s="273"/>
    </row>
    <row r="543" spans="12:13" x14ac:dyDescent="0.25">
      <c r="L543" s="273"/>
      <c r="M543" s="273"/>
    </row>
    <row r="544" spans="12:13" x14ac:dyDescent="0.25">
      <c r="L544" s="273"/>
      <c r="M544" s="273"/>
    </row>
    <row r="545" spans="12:13" x14ac:dyDescent="0.25">
      <c r="L545" s="273"/>
      <c r="M545" s="273"/>
    </row>
    <row r="546" spans="12:13" x14ac:dyDescent="0.25">
      <c r="L546" s="273"/>
      <c r="M546" s="273"/>
    </row>
    <row r="547" spans="12:13" x14ac:dyDescent="0.25">
      <c r="L547" s="273"/>
      <c r="M547" s="273"/>
    </row>
    <row r="548" spans="12:13" x14ac:dyDescent="0.25">
      <c r="L548" s="273"/>
      <c r="M548" s="273"/>
    </row>
    <row r="549" spans="12:13" x14ac:dyDescent="0.25">
      <c r="L549" s="273"/>
      <c r="M549" s="273"/>
    </row>
    <row r="550" spans="12:13" x14ac:dyDescent="0.25">
      <c r="L550" s="273"/>
      <c r="M550" s="273"/>
    </row>
    <row r="551" spans="12:13" x14ac:dyDescent="0.25">
      <c r="L551" s="273"/>
      <c r="M551" s="273"/>
    </row>
    <row r="552" spans="12:13" x14ac:dyDescent="0.25">
      <c r="L552" s="273"/>
      <c r="M552" s="273"/>
    </row>
    <row r="553" spans="12:13" x14ac:dyDescent="0.25">
      <c r="L553" s="273"/>
      <c r="M553" s="273"/>
    </row>
    <row r="554" spans="12:13" x14ac:dyDescent="0.25">
      <c r="L554" s="273"/>
      <c r="M554" s="273"/>
    </row>
    <row r="555" spans="12:13" x14ac:dyDescent="0.25">
      <c r="L555" s="273"/>
      <c r="M555" s="273"/>
    </row>
    <row r="556" spans="12:13" x14ac:dyDescent="0.25">
      <c r="L556" s="273"/>
      <c r="M556" s="273"/>
    </row>
    <row r="557" spans="12:13" x14ac:dyDescent="0.25">
      <c r="L557" s="273"/>
      <c r="M557" s="273"/>
    </row>
    <row r="558" spans="12:13" x14ac:dyDescent="0.25">
      <c r="L558" s="273"/>
      <c r="M558" s="273"/>
    </row>
    <row r="559" spans="12:13" x14ac:dyDescent="0.25">
      <c r="L559" s="273"/>
      <c r="M559" s="273"/>
    </row>
    <row r="560" spans="12:13" x14ac:dyDescent="0.25">
      <c r="L560" s="273"/>
      <c r="M560" s="273"/>
    </row>
    <row r="561" spans="12:13" x14ac:dyDescent="0.25">
      <c r="L561" s="273"/>
      <c r="M561" s="273"/>
    </row>
    <row r="562" spans="12:13" x14ac:dyDescent="0.25">
      <c r="L562" s="273"/>
      <c r="M562" s="273"/>
    </row>
    <row r="563" spans="12:13" x14ac:dyDescent="0.25">
      <c r="L563" s="273"/>
      <c r="M563" s="273"/>
    </row>
    <row r="564" spans="12:13" x14ac:dyDescent="0.25">
      <c r="L564" s="273"/>
      <c r="M564" s="273"/>
    </row>
    <row r="565" spans="12:13" x14ac:dyDescent="0.25">
      <c r="L565" s="273"/>
      <c r="M565" s="273"/>
    </row>
    <row r="566" spans="12:13" x14ac:dyDescent="0.25">
      <c r="L566" s="273"/>
      <c r="M566" s="273"/>
    </row>
    <row r="567" spans="12:13" x14ac:dyDescent="0.25">
      <c r="L567" s="273"/>
      <c r="M567" s="273"/>
    </row>
    <row r="568" spans="12:13" x14ac:dyDescent="0.25">
      <c r="L568" s="273"/>
      <c r="M568" s="273"/>
    </row>
    <row r="569" spans="12:13" x14ac:dyDescent="0.25">
      <c r="L569" s="273"/>
      <c r="M569" s="273"/>
    </row>
    <row r="570" spans="12:13" ht="42.6" customHeight="1" x14ac:dyDescent="0.25">
      <c r="L570" s="273"/>
      <c r="M570" s="273"/>
    </row>
    <row r="571" spans="12:13" x14ac:dyDescent="0.25">
      <c r="L571" s="273"/>
      <c r="M571" s="273"/>
    </row>
    <row r="572" spans="12:13" x14ac:dyDescent="0.25">
      <c r="L572" s="273"/>
      <c r="M572" s="273"/>
    </row>
    <row r="573" spans="12:13" x14ac:dyDescent="0.25">
      <c r="L573" s="273"/>
      <c r="M573" s="273"/>
    </row>
    <row r="574" spans="12:13" x14ac:dyDescent="0.25">
      <c r="L574" s="273"/>
      <c r="M574" s="273"/>
    </row>
    <row r="575" spans="12:13" x14ac:dyDescent="0.25">
      <c r="L575" s="273"/>
      <c r="M575" s="273"/>
    </row>
    <row r="576" spans="12:13" x14ac:dyDescent="0.25">
      <c r="L576" s="273"/>
      <c r="M576" s="273"/>
    </row>
    <row r="577" spans="12:13" x14ac:dyDescent="0.25">
      <c r="L577" s="273"/>
      <c r="M577" s="273"/>
    </row>
    <row r="578" spans="12:13" x14ac:dyDescent="0.25">
      <c r="L578" s="273"/>
      <c r="M578" s="273"/>
    </row>
    <row r="579" spans="12:13" x14ac:dyDescent="0.25">
      <c r="L579" s="273"/>
      <c r="M579" s="273"/>
    </row>
    <row r="580" spans="12:13" x14ac:dyDescent="0.25">
      <c r="L580" s="273"/>
      <c r="M580" s="273"/>
    </row>
    <row r="581" spans="12:13" x14ac:dyDescent="0.25">
      <c r="L581" s="273"/>
      <c r="M581" s="273"/>
    </row>
    <row r="582" spans="12:13" x14ac:dyDescent="0.25">
      <c r="L582" s="273"/>
      <c r="M582" s="273"/>
    </row>
    <row r="583" spans="12:13" x14ac:dyDescent="0.25">
      <c r="L583" s="273"/>
      <c r="M583" s="273"/>
    </row>
    <row r="584" spans="12:13" x14ac:dyDescent="0.25">
      <c r="L584" s="273"/>
      <c r="M584" s="273"/>
    </row>
    <row r="585" spans="12:13" x14ac:dyDescent="0.25">
      <c r="L585" s="273"/>
      <c r="M585" s="273"/>
    </row>
    <row r="586" spans="12:13" x14ac:dyDescent="0.25">
      <c r="L586" s="273"/>
      <c r="M586" s="273"/>
    </row>
    <row r="587" spans="12:13" x14ac:dyDescent="0.25">
      <c r="L587" s="273"/>
      <c r="M587" s="273"/>
    </row>
    <row r="588" spans="12:13" x14ac:dyDescent="0.25">
      <c r="L588" s="273"/>
      <c r="M588" s="273"/>
    </row>
    <row r="589" spans="12:13" x14ac:dyDescent="0.25">
      <c r="L589" s="273"/>
      <c r="M589" s="273"/>
    </row>
    <row r="590" spans="12:13" x14ac:dyDescent="0.25">
      <c r="L590" s="273"/>
      <c r="M590" s="273"/>
    </row>
    <row r="591" spans="12:13" x14ac:dyDescent="0.25">
      <c r="L591" s="273"/>
      <c r="M591" s="273"/>
    </row>
    <row r="592" spans="12:13" x14ac:dyDescent="0.25">
      <c r="L592" s="273"/>
      <c r="M592" s="273"/>
    </row>
    <row r="593" spans="12:13" x14ac:dyDescent="0.25">
      <c r="L593" s="273"/>
      <c r="M593" s="273"/>
    </row>
    <row r="594" spans="12:13" x14ac:dyDescent="0.25">
      <c r="L594" s="273"/>
      <c r="M594" s="273"/>
    </row>
    <row r="595" spans="12:13" x14ac:dyDescent="0.25">
      <c r="L595" s="273"/>
      <c r="M595" s="273"/>
    </row>
    <row r="596" spans="12:13" x14ac:dyDescent="0.25">
      <c r="L596" s="273"/>
      <c r="M596" s="273"/>
    </row>
    <row r="597" spans="12:13" x14ac:dyDescent="0.25">
      <c r="L597" s="273"/>
      <c r="M597" s="273"/>
    </row>
    <row r="598" spans="12:13" x14ac:dyDescent="0.25">
      <c r="L598" s="273"/>
      <c r="M598" s="273"/>
    </row>
    <row r="599" spans="12:13" x14ac:dyDescent="0.25">
      <c r="L599" s="273"/>
      <c r="M599" s="273"/>
    </row>
    <row r="600" spans="12:13" x14ac:dyDescent="0.25">
      <c r="L600" s="273"/>
      <c r="M600" s="273"/>
    </row>
    <row r="601" spans="12:13" x14ac:dyDescent="0.25">
      <c r="L601" s="273"/>
      <c r="M601" s="273"/>
    </row>
    <row r="602" spans="12:13" x14ac:dyDescent="0.25">
      <c r="L602" s="273"/>
      <c r="M602" s="273"/>
    </row>
    <row r="603" spans="12:13" x14ac:dyDescent="0.25">
      <c r="L603" s="273"/>
      <c r="M603" s="273"/>
    </row>
    <row r="604" spans="12:13" x14ac:dyDescent="0.25">
      <c r="L604" s="273"/>
      <c r="M604" s="273"/>
    </row>
    <row r="605" spans="12:13" x14ac:dyDescent="0.25">
      <c r="L605" s="273"/>
      <c r="M605" s="273"/>
    </row>
    <row r="606" spans="12:13" x14ac:dyDescent="0.25">
      <c r="L606" s="273"/>
      <c r="M606" s="273"/>
    </row>
    <row r="607" spans="12:13" x14ac:dyDescent="0.25">
      <c r="L607" s="273"/>
      <c r="M607" s="273"/>
    </row>
    <row r="608" spans="12:13" x14ac:dyDescent="0.25">
      <c r="L608" s="273"/>
      <c r="M608" s="273"/>
    </row>
    <row r="609" spans="12:13" x14ac:dyDescent="0.25">
      <c r="L609" s="273"/>
      <c r="M609" s="273"/>
    </row>
    <row r="610" spans="12:13" x14ac:dyDescent="0.25">
      <c r="L610" s="273"/>
      <c r="M610" s="273"/>
    </row>
    <row r="611" spans="12:13" x14ac:dyDescent="0.25">
      <c r="L611" s="273"/>
      <c r="M611" s="273"/>
    </row>
    <row r="612" spans="12:13" x14ac:dyDescent="0.25">
      <c r="L612" s="273"/>
      <c r="M612" s="273"/>
    </row>
    <row r="613" spans="12:13" x14ac:dyDescent="0.25">
      <c r="L613" s="273"/>
      <c r="M613" s="273"/>
    </row>
    <row r="614" spans="12:13" x14ac:dyDescent="0.25">
      <c r="L614" s="273"/>
      <c r="M614" s="273"/>
    </row>
    <row r="615" spans="12:13" x14ac:dyDescent="0.25">
      <c r="L615" s="273"/>
      <c r="M615" s="273"/>
    </row>
    <row r="616" spans="12:13" x14ac:dyDescent="0.25">
      <c r="L616" s="273"/>
      <c r="M616" s="273"/>
    </row>
    <row r="617" spans="12:13" x14ac:dyDescent="0.25">
      <c r="L617" s="273"/>
      <c r="M617" s="273"/>
    </row>
    <row r="618" spans="12:13" x14ac:dyDescent="0.25">
      <c r="L618" s="273"/>
      <c r="M618" s="273"/>
    </row>
    <row r="619" spans="12:13" x14ac:dyDescent="0.25">
      <c r="L619" s="273"/>
      <c r="M619" s="273"/>
    </row>
    <row r="620" spans="12:13" x14ac:dyDescent="0.25">
      <c r="L620" s="273"/>
      <c r="M620" s="273"/>
    </row>
    <row r="621" spans="12:13" x14ac:dyDescent="0.25">
      <c r="L621" s="273"/>
      <c r="M621" s="273"/>
    </row>
    <row r="622" spans="12:13" x14ac:dyDescent="0.25">
      <c r="L622" s="273"/>
      <c r="M622" s="273"/>
    </row>
    <row r="623" spans="12:13" x14ac:dyDescent="0.25">
      <c r="L623" s="273"/>
      <c r="M623" s="273"/>
    </row>
    <row r="624" spans="12:13" x14ac:dyDescent="0.25">
      <c r="L624" s="273"/>
      <c r="M624" s="273"/>
    </row>
    <row r="625" spans="12:13" x14ac:dyDescent="0.25">
      <c r="L625" s="273"/>
      <c r="M625" s="273"/>
    </row>
    <row r="626" spans="12:13" x14ac:dyDescent="0.25">
      <c r="L626" s="273"/>
      <c r="M626" s="273"/>
    </row>
    <row r="627" spans="12:13" x14ac:dyDescent="0.25">
      <c r="L627" s="273"/>
      <c r="M627" s="273"/>
    </row>
    <row r="628" spans="12:13" x14ac:dyDescent="0.25">
      <c r="L628" s="273"/>
      <c r="M628" s="273"/>
    </row>
    <row r="629" spans="12:13" x14ac:dyDescent="0.25">
      <c r="L629" s="273"/>
      <c r="M629" s="273"/>
    </row>
    <row r="630" spans="12:13" x14ac:dyDescent="0.25">
      <c r="L630" s="273"/>
      <c r="M630" s="273"/>
    </row>
    <row r="631" spans="12:13" x14ac:dyDescent="0.25">
      <c r="L631" s="273"/>
      <c r="M631" s="273"/>
    </row>
    <row r="632" spans="12:13" x14ac:dyDescent="0.25">
      <c r="L632" s="273"/>
      <c r="M632" s="273"/>
    </row>
    <row r="633" spans="12:13" x14ac:dyDescent="0.25">
      <c r="L633" s="273"/>
      <c r="M633" s="273"/>
    </row>
    <row r="634" spans="12:13" x14ac:dyDescent="0.25">
      <c r="L634" s="273"/>
      <c r="M634" s="273"/>
    </row>
    <row r="635" spans="12:13" x14ac:dyDescent="0.25">
      <c r="L635" s="273"/>
      <c r="M635" s="273"/>
    </row>
    <row r="636" spans="12:13" x14ac:dyDescent="0.25">
      <c r="L636" s="273"/>
      <c r="M636" s="273"/>
    </row>
    <row r="637" spans="12:13" x14ac:dyDescent="0.25">
      <c r="L637" s="273"/>
      <c r="M637" s="273"/>
    </row>
    <row r="638" spans="12:13" x14ac:dyDescent="0.25">
      <c r="L638" s="273"/>
      <c r="M638" s="273"/>
    </row>
    <row r="639" spans="12:13" x14ac:dyDescent="0.25">
      <c r="L639" s="273"/>
      <c r="M639" s="273"/>
    </row>
    <row r="640" spans="12:13" x14ac:dyDescent="0.25">
      <c r="L640" s="273"/>
      <c r="M640" s="273"/>
    </row>
    <row r="641" spans="12:13" x14ac:dyDescent="0.25">
      <c r="L641" s="273"/>
      <c r="M641" s="273"/>
    </row>
    <row r="642" spans="12:13" x14ac:dyDescent="0.25">
      <c r="L642" s="273"/>
      <c r="M642" s="273"/>
    </row>
    <row r="643" spans="12:13" x14ac:dyDescent="0.25">
      <c r="L643" s="273"/>
      <c r="M643" s="273"/>
    </row>
    <row r="644" spans="12:13" x14ac:dyDescent="0.25">
      <c r="L644" s="273"/>
      <c r="M644" s="273"/>
    </row>
    <row r="645" spans="12:13" x14ac:dyDescent="0.25">
      <c r="L645" s="273"/>
      <c r="M645" s="273"/>
    </row>
    <row r="646" spans="12:13" x14ac:dyDescent="0.25">
      <c r="L646" s="273"/>
      <c r="M646" s="273"/>
    </row>
    <row r="647" spans="12:13" x14ac:dyDescent="0.25">
      <c r="L647" s="273"/>
      <c r="M647" s="273"/>
    </row>
    <row r="648" spans="12:13" x14ac:dyDescent="0.25">
      <c r="L648" s="273"/>
      <c r="M648" s="273"/>
    </row>
    <row r="649" spans="12:13" x14ac:dyDescent="0.25">
      <c r="L649" s="273"/>
      <c r="M649" s="273"/>
    </row>
    <row r="650" spans="12:13" x14ac:dyDescent="0.25">
      <c r="L650" s="273"/>
      <c r="M650" s="273"/>
    </row>
    <row r="651" spans="12:13" x14ac:dyDescent="0.25">
      <c r="L651" s="273"/>
      <c r="M651" s="273"/>
    </row>
    <row r="652" spans="12:13" x14ac:dyDescent="0.25">
      <c r="L652" s="273"/>
      <c r="M652" s="273"/>
    </row>
    <row r="653" spans="12:13" x14ac:dyDescent="0.25">
      <c r="L653" s="273"/>
      <c r="M653" s="273"/>
    </row>
    <row r="654" spans="12:13" x14ac:dyDescent="0.25">
      <c r="L654" s="273"/>
      <c r="M654" s="273"/>
    </row>
    <row r="655" spans="12:13" x14ac:dyDescent="0.25">
      <c r="L655" s="273"/>
      <c r="M655" s="273"/>
    </row>
    <row r="656" spans="12:13" x14ac:dyDescent="0.25">
      <c r="L656" s="273"/>
      <c r="M656" s="273"/>
    </row>
    <row r="657" spans="12:13" x14ac:dyDescent="0.25">
      <c r="L657" s="273"/>
      <c r="M657" s="273"/>
    </row>
    <row r="658" spans="12:13" x14ac:dyDescent="0.25">
      <c r="L658" s="273"/>
      <c r="M658" s="273"/>
    </row>
    <row r="659" spans="12:13" x14ac:dyDescent="0.25">
      <c r="L659" s="273"/>
      <c r="M659" s="273"/>
    </row>
    <row r="660" spans="12:13" x14ac:dyDescent="0.25">
      <c r="L660" s="273"/>
      <c r="M660" s="273"/>
    </row>
    <row r="661" spans="12:13" x14ac:dyDescent="0.25">
      <c r="L661" s="273"/>
      <c r="M661" s="273"/>
    </row>
    <row r="662" spans="12:13" x14ac:dyDescent="0.25">
      <c r="L662" s="273"/>
      <c r="M662" s="273"/>
    </row>
    <row r="663" spans="12:13" x14ac:dyDescent="0.25">
      <c r="L663" s="273"/>
      <c r="M663" s="273"/>
    </row>
    <row r="664" spans="12:13" x14ac:dyDescent="0.25">
      <c r="L664" s="273"/>
      <c r="M664" s="273"/>
    </row>
    <row r="665" spans="12:13" x14ac:dyDescent="0.25">
      <c r="L665" s="273"/>
      <c r="M665" s="273"/>
    </row>
    <row r="666" spans="12:13" x14ac:dyDescent="0.25">
      <c r="L666" s="273"/>
      <c r="M666" s="273"/>
    </row>
    <row r="667" spans="12:13" x14ac:dyDescent="0.25">
      <c r="L667" s="273"/>
      <c r="M667" s="273"/>
    </row>
    <row r="668" spans="12:13" x14ac:dyDescent="0.25">
      <c r="L668" s="273"/>
      <c r="M668" s="273"/>
    </row>
    <row r="669" spans="12:13" x14ac:dyDescent="0.25">
      <c r="L669" s="273"/>
      <c r="M669" s="273"/>
    </row>
    <row r="670" spans="12:13" x14ac:dyDescent="0.25">
      <c r="L670" s="273"/>
      <c r="M670" s="273"/>
    </row>
    <row r="671" spans="12:13" x14ac:dyDescent="0.25">
      <c r="L671" s="273"/>
      <c r="M671" s="273"/>
    </row>
    <row r="672" spans="12:13" x14ac:dyDescent="0.25">
      <c r="L672" s="273"/>
      <c r="M672" s="273"/>
    </row>
    <row r="673" spans="12:13" x14ac:dyDescent="0.25">
      <c r="L673" s="273"/>
      <c r="M673" s="273"/>
    </row>
    <row r="674" spans="12:13" x14ac:dyDescent="0.25">
      <c r="L674" s="273"/>
      <c r="M674" s="273"/>
    </row>
    <row r="675" spans="12:13" x14ac:dyDescent="0.25">
      <c r="L675" s="273"/>
      <c r="M675" s="273"/>
    </row>
    <row r="676" spans="12:13" x14ac:dyDescent="0.25">
      <c r="L676" s="273"/>
      <c r="M676" s="273"/>
    </row>
    <row r="677" spans="12:13" x14ac:dyDescent="0.25">
      <c r="L677" s="273"/>
      <c r="M677" s="273"/>
    </row>
    <row r="678" spans="12:13" x14ac:dyDescent="0.25">
      <c r="L678" s="273"/>
      <c r="M678" s="273"/>
    </row>
    <row r="679" spans="12:13" x14ac:dyDescent="0.25">
      <c r="L679" s="273"/>
      <c r="M679" s="273"/>
    </row>
    <row r="680" spans="12:13" x14ac:dyDescent="0.25">
      <c r="L680" s="273"/>
      <c r="M680" s="273"/>
    </row>
    <row r="681" spans="12:13" x14ac:dyDescent="0.25">
      <c r="L681" s="273"/>
      <c r="M681" s="273"/>
    </row>
    <row r="682" spans="12:13" x14ac:dyDescent="0.25">
      <c r="L682" s="273"/>
      <c r="M682" s="273"/>
    </row>
    <row r="683" spans="12:13" x14ac:dyDescent="0.25">
      <c r="L683" s="273"/>
      <c r="M683" s="273"/>
    </row>
    <row r="684" spans="12:13" x14ac:dyDescent="0.25">
      <c r="L684" s="273"/>
      <c r="M684" s="273"/>
    </row>
    <row r="685" spans="12:13" x14ac:dyDescent="0.25">
      <c r="L685" s="273"/>
      <c r="M685" s="273"/>
    </row>
    <row r="686" spans="12:13" x14ac:dyDescent="0.25">
      <c r="L686" s="273"/>
      <c r="M686" s="273"/>
    </row>
    <row r="687" spans="12:13" x14ac:dyDescent="0.25">
      <c r="L687" s="273"/>
      <c r="M687" s="273"/>
    </row>
    <row r="688" spans="12:13" x14ac:dyDescent="0.25">
      <c r="L688" s="273"/>
      <c r="M688" s="273"/>
    </row>
    <row r="689" spans="12:13" x14ac:dyDescent="0.25">
      <c r="L689" s="273"/>
      <c r="M689" s="273"/>
    </row>
    <row r="690" spans="12:13" x14ac:dyDescent="0.25">
      <c r="L690" s="273"/>
      <c r="M690" s="273"/>
    </row>
    <row r="691" spans="12:13" x14ac:dyDescent="0.25">
      <c r="L691" s="273"/>
      <c r="M691" s="273"/>
    </row>
    <row r="692" spans="12:13" x14ac:dyDescent="0.25">
      <c r="L692" s="273"/>
      <c r="M692" s="273"/>
    </row>
    <row r="693" spans="12:13" x14ac:dyDescent="0.25">
      <c r="L693" s="273"/>
      <c r="M693" s="273"/>
    </row>
    <row r="694" spans="12:13" x14ac:dyDescent="0.25">
      <c r="L694" s="273"/>
      <c r="M694" s="273"/>
    </row>
    <row r="695" spans="12:13" x14ac:dyDescent="0.25">
      <c r="L695" s="273"/>
      <c r="M695" s="273"/>
    </row>
    <row r="696" spans="12:13" x14ac:dyDescent="0.25">
      <c r="L696" s="273"/>
      <c r="M696" s="273"/>
    </row>
    <row r="697" spans="12:13" x14ac:dyDescent="0.25">
      <c r="L697" s="273"/>
      <c r="M697" s="273"/>
    </row>
    <row r="698" spans="12:13" x14ac:dyDescent="0.25">
      <c r="L698" s="273"/>
      <c r="M698" s="273"/>
    </row>
    <row r="699" spans="12:13" x14ac:dyDescent="0.25">
      <c r="L699" s="273"/>
      <c r="M699" s="273"/>
    </row>
    <row r="700" spans="12:13" x14ac:dyDescent="0.25">
      <c r="L700" s="273"/>
      <c r="M700" s="273"/>
    </row>
    <row r="701" spans="12:13" x14ac:dyDescent="0.25">
      <c r="L701" s="273"/>
      <c r="M701" s="273"/>
    </row>
    <row r="702" spans="12:13" x14ac:dyDescent="0.25">
      <c r="L702" s="273"/>
      <c r="M702" s="273"/>
    </row>
    <row r="703" spans="12:13" x14ac:dyDescent="0.25">
      <c r="L703" s="273"/>
      <c r="M703" s="273"/>
    </row>
    <row r="704" spans="12:13" x14ac:dyDescent="0.25">
      <c r="L704" s="273"/>
      <c r="M704" s="273"/>
    </row>
    <row r="705" spans="12:13" x14ac:dyDescent="0.25">
      <c r="L705" s="273"/>
      <c r="M705" s="273"/>
    </row>
    <row r="706" spans="12:13" x14ac:dyDescent="0.25">
      <c r="L706" s="273"/>
      <c r="M706" s="273"/>
    </row>
    <row r="707" spans="12:13" x14ac:dyDescent="0.25">
      <c r="L707" s="273"/>
      <c r="M707" s="273"/>
    </row>
    <row r="708" spans="12:13" x14ac:dyDescent="0.25">
      <c r="L708" s="273"/>
      <c r="M708" s="273"/>
    </row>
    <row r="709" spans="12:13" x14ac:dyDescent="0.25">
      <c r="L709" s="273"/>
      <c r="M709" s="273"/>
    </row>
    <row r="710" spans="12:13" x14ac:dyDescent="0.25">
      <c r="L710" s="273"/>
      <c r="M710" s="273"/>
    </row>
    <row r="711" spans="12:13" x14ac:dyDescent="0.25">
      <c r="L711" s="273"/>
      <c r="M711" s="273"/>
    </row>
    <row r="712" spans="12:13" x14ac:dyDescent="0.25">
      <c r="L712" s="273"/>
      <c r="M712" s="273"/>
    </row>
    <row r="713" spans="12:13" x14ac:dyDescent="0.25">
      <c r="L713" s="273"/>
      <c r="M713" s="273"/>
    </row>
    <row r="714" spans="12:13" x14ac:dyDescent="0.25">
      <c r="L714" s="273"/>
      <c r="M714" s="273"/>
    </row>
    <row r="715" spans="12:13" x14ac:dyDescent="0.25">
      <c r="L715" s="273"/>
      <c r="M715" s="273"/>
    </row>
    <row r="716" spans="12:13" x14ac:dyDescent="0.25">
      <c r="L716" s="273"/>
      <c r="M716" s="273"/>
    </row>
    <row r="717" spans="12:13" x14ac:dyDescent="0.25">
      <c r="L717" s="273"/>
      <c r="M717" s="273"/>
    </row>
    <row r="718" spans="12:13" x14ac:dyDescent="0.25">
      <c r="L718" s="273"/>
      <c r="M718" s="273"/>
    </row>
    <row r="719" spans="12:13" x14ac:dyDescent="0.25">
      <c r="L719" s="273"/>
      <c r="M719" s="273"/>
    </row>
    <row r="720" spans="12:13" x14ac:dyDescent="0.25">
      <c r="L720" s="273"/>
      <c r="M720" s="273"/>
    </row>
    <row r="721" spans="12:13" x14ac:dyDescent="0.25">
      <c r="L721" s="273"/>
      <c r="M721" s="273"/>
    </row>
    <row r="722" spans="12:13" x14ac:dyDescent="0.25">
      <c r="L722" s="273"/>
      <c r="M722" s="273"/>
    </row>
    <row r="723" spans="12:13" x14ac:dyDescent="0.25">
      <c r="L723" s="273"/>
      <c r="M723" s="273"/>
    </row>
    <row r="724" spans="12:13" x14ac:dyDescent="0.25">
      <c r="L724" s="273"/>
      <c r="M724" s="273"/>
    </row>
    <row r="725" spans="12:13" x14ac:dyDescent="0.25">
      <c r="L725" s="273"/>
      <c r="M725" s="273"/>
    </row>
    <row r="726" spans="12:13" x14ac:dyDescent="0.25">
      <c r="L726" s="273"/>
      <c r="M726" s="273"/>
    </row>
    <row r="727" spans="12:13" x14ac:dyDescent="0.25">
      <c r="L727" s="273"/>
      <c r="M727" s="273"/>
    </row>
    <row r="728" spans="12:13" x14ac:dyDescent="0.25">
      <c r="L728" s="273"/>
      <c r="M728" s="273"/>
    </row>
    <row r="729" spans="12:13" x14ac:dyDescent="0.25">
      <c r="L729" s="273"/>
      <c r="M729" s="273"/>
    </row>
    <row r="730" spans="12:13" x14ac:dyDescent="0.25">
      <c r="L730" s="273"/>
      <c r="M730" s="273"/>
    </row>
    <row r="731" spans="12:13" x14ac:dyDescent="0.25">
      <c r="L731" s="273"/>
      <c r="M731" s="273"/>
    </row>
    <row r="732" spans="12:13" x14ac:dyDescent="0.25">
      <c r="L732" s="273"/>
      <c r="M732" s="273"/>
    </row>
    <row r="733" spans="12:13" x14ac:dyDescent="0.25">
      <c r="L733" s="273"/>
      <c r="M733" s="273"/>
    </row>
    <row r="734" spans="12:13" x14ac:dyDescent="0.25">
      <c r="L734" s="273"/>
      <c r="M734" s="273"/>
    </row>
    <row r="735" spans="12:13" x14ac:dyDescent="0.25">
      <c r="L735" s="273"/>
      <c r="M735" s="273"/>
    </row>
    <row r="736" spans="12:13" x14ac:dyDescent="0.25">
      <c r="L736" s="273"/>
      <c r="M736" s="273"/>
    </row>
    <row r="737" spans="12:13" x14ac:dyDescent="0.25">
      <c r="L737" s="273"/>
      <c r="M737" s="273"/>
    </row>
    <row r="738" spans="12:13" x14ac:dyDescent="0.25">
      <c r="L738" s="273"/>
      <c r="M738" s="273"/>
    </row>
    <row r="739" spans="12:13" x14ac:dyDescent="0.25">
      <c r="L739" s="273"/>
      <c r="M739" s="273"/>
    </row>
    <row r="740" spans="12:13" x14ac:dyDescent="0.25">
      <c r="L740" s="273"/>
      <c r="M740" s="273"/>
    </row>
    <row r="741" spans="12:13" x14ac:dyDescent="0.25">
      <c r="L741" s="273"/>
      <c r="M741" s="273"/>
    </row>
    <row r="742" spans="12:13" x14ac:dyDescent="0.25">
      <c r="L742" s="273"/>
      <c r="M742" s="273"/>
    </row>
    <row r="743" spans="12:13" x14ac:dyDescent="0.25">
      <c r="L743" s="273"/>
      <c r="M743" s="273"/>
    </row>
    <row r="744" spans="12:13" x14ac:dyDescent="0.25">
      <c r="L744" s="273"/>
      <c r="M744" s="273"/>
    </row>
    <row r="745" spans="12:13" x14ac:dyDescent="0.25">
      <c r="L745" s="273"/>
      <c r="M745" s="273"/>
    </row>
    <row r="746" spans="12:13" x14ac:dyDescent="0.25">
      <c r="L746" s="273"/>
      <c r="M746" s="273"/>
    </row>
    <row r="747" spans="12:13" x14ac:dyDescent="0.25">
      <c r="L747" s="273"/>
      <c r="M747" s="273"/>
    </row>
    <row r="748" spans="12:13" x14ac:dyDescent="0.25">
      <c r="L748" s="273"/>
      <c r="M748" s="273"/>
    </row>
    <row r="749" spans="12:13" x14ac:dyDescent="0.25">
      <c r="L749" s="273"/>
      <c r="M749" s="273"/>
    </row>
    <row r="750" spans="12:13" x14ac:dyDescent="0.25">
      <c r="L750" s="273"/>
      <c r="M750" s="273"/>
    </row>
    <row r="751" spans="12:13" x14ac:dyDescent="0.25">
      <c r="L751" s="273"/>
      <c r="M751" s="273"/>
    </row>
    <row r="752" spans="12:13" x14ac:dyDescent="0.25">
      <c r="L752" s="273"/>
      <c r="M752" s="273"/>
    </row>
    <row r="753" spans="12:13" x14ac:dyDescent="0.25">
      <c r="L753" s="273"/>
      <c r="M753" s="273"/>
    </row>
    <row r="754" spans="12:13" x14ac:dyDescent="0.25">
      <c r="L754" s="273"/>
      <c r="M754" s="273"/>
    </row>
    <row r="755" spans="12:13" x14ac:dyDescent="0.25">
      <c r="L755" s="273"/>
      <c r="M755" s="273"/>
    </row>
    <row r="756" spans="12:13" x14ac:dyDescent="0.25">
      <c r="L756" s="273"/>
      <c r="M756" s="273"/>
    </row>
    <row r="757" spans="12:13" x14ac:dyDescent="0.25">
      <c r="L757" s="273"/>
      <c r="M757" s="273"/>
    </row>
    <row r="758" spans="12:13" x14ac:dyDescent="0.25">
      <c r="L758" s="273"/>
      <c r="M758" s="273"/>
    </row>
    <row r="759" spans="12:13" x14ac:dyDescent="0.25">
      <c r="L759" s="273"/>
      <c r="M759" s="273"/>
    </row>
    <row r="760" spans="12:13" x14ac:dyDescent="0.25">
      <c r="L760" s="273"/>
      <c r="M760" s="273"/>
    </row>
    <row r="761" spans="12:13" x14ac:dyDescent="0.25">
      <c r="L761" s="273"/>
      <c r="M761" s="273"/>
    </row>
    <row r="762" spans="12:13" x14ac:dyDescent="0.25">
      <c r="L762" s="273"/>
      <c r="M762" s="273"/>
    </row>
    <row r="763" spans="12:13" x14ac:dyDescent="0.25">
      <c r="L763" s="273"/>
      <c r="M763" s="273"/>
    </row>
    <row r="764" spans="12:13" x14ac:dyDescent="0.25">
      <c r="L764" s="273"/>
      <c r="M764" s="273"/>
    </row>
    <row r="765" spans="12:13" x14ac:dyDescent="0.25">
      <c r="L765" s="273"/>
      <c r="M765" s="273"/>
    </row>
    <row r="766" spans="12:13" x14ac:dyDescent="0.25">
      <c r="L766" s="273"/>
      <c r="M766" s="273"/>
    </row>
    <row r="767" spans="12:13" x14ac:dyDescent="0.25">
      <c r="L767" s="273"/>
      <c r="M767" s="273"/>
    </row>
    <row r="768" spans="12:13" x14ac:dyDescent="0.25">
      <c r="L768" s="273"/>
      <c r="M768" s="273"/>
    </row>
    <row r="769" spans="12:13" x14ac:dyDescent="0.25">
      <c r="L769" s="273"/>
      <c r="M769" s="273"/>
    </row>
    <row r="770" spans="12:13" x14ac:dyDescent="0.25">
      <c r="L770" s="273"/>
      <c r="M770" s="273"/>
    </row>
    <row r="771" spans="12:13" x14ac:dyDescent="0.25">
      <c r="L771" s="273"/>
      <c r="M771" s="273"/>
    </row>
    <row r="772" spans="12:13" x14ac:dyDescent="0.25">
      <c r="L772" s="273"/>
      <c r="M772" s="273"/>
    </row>
    <row r="773" spans="12:13" x14ac:dyDescent="0.25">
      <c r="L773" s="273"/>
      <c r="M773" s="273"/>
    </row>
    <row r="774" spans="12:13" x14ac:dyDescent="0.25">
      <c r="L774" s="273"/>
      <c r="M774" s="273"/>
    </row>
    <row r="775" spans="12:13" x14ac:dyDescent="0.25">
      <c r="L775" s="273"/>
      <c r="M775" s="273"/>
    </row>
    <row r="776" spans="12:13" x14ac:dyDescent="0.25">
      <c r="L776" s="273"/>
      <c r="M776" s="273"/>
    </row>
    <row r="777" spans="12:13" x14ac:dyDescent="0.25">
      <c r="L777" s="273"/>
      <c r="M777" s="273"/>
    </row>
    <row r="778" spans="12:13" x14ac:dyDescent="0.25">
      <c r="L778" s="273"/>
      <c r="M778" s="273"/>
    </row>
    <row r="779" spans="12:13" x14ac:dyDescent="0.25">
      <c r="L779" s="273"/>
      <c r="M779" s="273"/>
    </row>
    <row r="780" spans="12:13" x14ac:dyDescent="0.25">
      <c r="L780" s="273"/>
      <c r="M780" s="273"/>
    </row>
    <row r="781" spans="12:13" x14ac:dyDescent="0.25">
      <c r="L781" s="273"/>
      <c r="M781" s="273"/>
    </row>
    <row r="782" spans="12:13" x14ac:dyDescent="0.25">
      <c r="L782" s="273"/>
      <c r="M782" s="273"/>
    </row>
    <row r="783" spans="12:13" x14ac:dyDescent="0.25">
      <c r="L783" s="273"/>
      <c r="M783" s="273"/>
    </row>
    <row r="784" spans="12:13" x14ac:dyDescent="0.25">
      <c r="L784" s="273"/>
      <c r="M784" s="273"/>
    </row>
    <row r="785" spans="12:13" x14ac:dyDescent="0.25">
      <c r="L785" s="273"/>
      <c r="M785" s="273"/>
    </row>
    <row r="786" spans="12:13" x14ac:dyDescent="0.25">
      <c r="L786" s="273"/>
      <c r="M786" s="273"/>
    </row>
    <row r="787" spans="12:13" x14ac:dyDescent="0.25">
      <c r="L787" s="273"/>
      <c r="M787" s="273"/>
    </row>
    <row r="788" spans="12:13" x14ac:dyDescent="0.25">
      <c r="L788" s="273"/>
      <c r="M788" s="273"/>
    </row>
    <row r="789" spans="12:13" x14ac:dyDescent="0.25">
      <c r="L789" s="273"/>
      <c r="M789" s="273"/>
    </row>
    <row r="790" spans="12:13" x14ac:dyDescent="0.25">
      <c r="L790" s="273"/>
      <c r="M790" s="273"/>
    </row>
    <row r="791" spans="12:13" x14ac:dyDescent="0.25">
      <c r="L791" s="273"/>
      <c r="M791" s="273"/>
    </row>
    <row r="792" spans="12:13" x14ac:dyDescent="0.25">
      <c r="L792" s="273"/>
      <c r="M792" s="273"/>
    </row>
    <row r="793" spans="12:13" x14ac:dyDescent="0.25">
      <c r="L793" s="273"/>
      <c r="M793" s="273"/>
    </row>
    <row r="794" spans="12:13" x14ac:dyDescent="0.25">
      <c r="L794" s="273"/>
      <c r="M794" s="273"/>
    </row>
    <row r="795" spans="12:13" x14ac:dyDescent="0.25">
      <c r="L795" s="273"/>
      <c r="M795" s="273"/>
    </row>
    <row r="796" spans="12:13" x14ac:dyDescent="0.25">
      <c r="L796" s="273"/>
      <c r="M796" s="273"/>
    </row>
    <row r="797" spans="12:13" x14ac:dyDescent="0.25">
      <c r="L797" s="273"/>
      <c r="M797" s="273"/>
    </row>
    <row r="798" spans="12:13" x14ac:dyDescent="0.25">
      <c r="L798" s="273"/>
      <c r="M798" s="273"/>
    </row>
    <row r="799" spans="12:13" x14ac:dyDescent="0.25">
      <c r="L799" s="273"/>
      <c r="M799" s="273"/>
    </row>
    <row r="800" spans="12:13" x14ac:dyDescent="0.25">
      <c r="L800" s="273"/>
      <c r="M800" s="273"/>
    </row>
    <row r="801" spans="12:13" x14ac:dyDescent="0.25">
      <c r="L801" s="273"/>
      <c r="M801" s="273"/>
    </row>
    <row r="802" spans="12:13" x14ac:dyDescent="0.25">
      <c r="L802" s="273"/>
      <c r="M802" s="273"/>
    </row>
    <row r="803" spans="12:13" x14ac:dyDescent="0.25">
      <c r="L803" s="273"/>
      <c r="M803" s="273"/>
    </row>
    <row r="804" spans="12:13" x14ac:dyDescent="0.25">
      <c r="L804" s="273"/>
      <c r="M804" s="273"/>
    </row>
    <row r="805" spans="12:13" x14ac:dyDescent="0.25">
      <c r="L805" s="273"/>
      <c r="M805" s="273"/>
    </row>
    <row r="806" spans="12:13" x14ac:dyDescent="0.25">
      <c r="L806" s="273"/>
      <c r="M806" s="273"/>
    </row>
    <row r="807" spans="12:13" x14ac:dyDescent="0.25">
      <c r="L807" s="273"/>
      <c r="M807" s="273"/>
    </row>
    <row r="808" spans="12:13" x14ac:dyDescent="0.25">
      <c r="L808" s="273"/>
      <c r="M808" s="273"/>
    </row>
    <row r="809" spans="12:13" x14ac:dyDescent="0.25">
      <c r="L809" s="273"/>
      <c r="M809" s="273"/>
    </row>
    <row r="810" spans="12:13" x14ac:dyDescent="0.25">
      <c r="L810" s="273"/>
      <c r="M810" s="273"/>
    </row>
    <row r="811" spans="12:13" x14ac:dyDescent="0.25">
      <c r="L811" s="273"/>
      <c r="M811" s="273"/>
    </row>
    <row r="812" spans="12:13" x14ac:dyDescent="0.25">
      <c r="L812" s="273"/>
      <c r="M812" s="273"/>
    </row>
    <row r="813" spans="12:13" x14ac:dyDescent="0.25">
      <c r="L813" s="273"/>
      <c r="M813" s="273"/>
    </row>
    <row r="814" spans="12:13" x14ac:dyDescent="0.25">
      <c r="L814" s="273"/>
      <c r="M814" s="273"/>
    </row>
    <row r="815" spans="12:13" x14ac:dyDescent="0.25">
      <c r="L815" s="273"/>
      <c r="M815" s="273"/>
    </row>
    <row r="816" spans="12:13" x14ac:dyDescent="0.25">
      <c r="L816" s="273"/>
      <c r="M816" s="273"/>
    </row>
    <row r="817" spans="12:13" x14ac:dyDescent="0.25">
      <c r="L817" s="273"/>
      <c r="M817" s="273"/>
    </row>
    <row r="818" spans="12:13" x14ac:dyDescent="0.25">
      <c r="L818" s="273"/>
      <c r="M818" s="273"/>
    </row>
    <row r="819" spans="12:13" x14ac:dyDescent="0.25">
      <c r="L819" s="273"/>
      <c r="M819" s="273"/>
    </row>
    <row r="820" spans="12:13" x14ac:dyDescent="0.25">
      <c r="L820" s="273"/>
      <c r="M820" s="273"/>
    </row>
    <row r="821" spans="12:13" x14ac:dyDescent="0.25">
      <c r="L821" s="273"/>
      <c r="M821" s="273"/>
    </row>
    <row r="822" spans="12:13" x14ac:dyDescent="0.25">
      <c r="L822" s="273"/>
      <c r="M822" s="273"/>
    </row>
    <row r="823" spans="12:13" x14ac:dyDescent="0.25">
      <c r="L823" s="273"/>
      <c r="M823" s="273"/>
    </row>
    <row r="824" spans="12:13" x14ac:dyDescent="0.25">
      <c r="L824" s="273"/>
      <c r="M824" s="273"/>
    </row>
    <row r="825" spans="12:13" x14ac:dyDescent="0.25">
      <c r="L825" s="273"/>
      <c r="M825" s="273"/>
    </row>
    <row r="826" spans="12:13" x14ac:dyDescent="0.25">
      <c r="L826" s="273"/>
      <c r="M826" s="273"/>
    </row>
    <row r="827" spans="12:13" x14ac:dyDescent="0.25">
      <c r="L827" s="273"/>
      <c r="M827" s="273"/>
    </row>
    <row r="828" spans="12:13" x14ac:dyDescent="0.25">
      <c r="L828" s="273"/>
      <c r="M828" s="273"/>
    </row>
    <row r="829" spans="12:13" x14ac:dyDescent="0.25">
      <c r="L829" s="273"/>
      <c r="M829" s="273"/>
    </row>
    <row r="830" spans="12:13" x14ac:dyDescent="0.25">
      <c r="L830" s="273"/>
      <c r="M830" s="273"/>
    </row>
    <row r="831" spans="12:13" x14ac:dyDescent="0.25">
      <c r="L831" s="273"/>
      <c r="M831" s="273"/>
    </row>
    <row r="832" spans="12:13" x14ac:dyDescent="0.25">
      <c r="L832" s="273"/>
      <c r="M832" s="273"/>
    </row>
    <row r="833" spans="12:13" x14ac:dyDescent="0.25">
      <c r="L833" s="273"/>
      <c r="M833" s="273"/>
    </row>
    <row r="834" spans="12:13" x14ac:dyDescent="0.25">
      <c r="L834" s="273"/>
      <c r="M834" s="273"/>
    </row>
    <row r="835" spans="12:13" x14ac:dyDescent="0.25">
      <c r="L835" s="273"/>
      <c r="M835" s="273"/>
    </row>
    <row r="836" spans="12:13" x14ac:dyDescent="0.25">
      <c r="L836" s="273"/>
      <c r="M836" s="273"/>
    </row>
    <row r="837" spans="12:13" x14ac:dyDescent="0.25">
      <c r="L837" s="273"/>
      <c r="M837" s="273"/>
    </row>
    <row r="838" spans="12:13" x14ac:dyDescent="0.25">
      <c r="L838" s="273"/>
      <c r="M838" s="273"/>
    </row>
    <row r="839" spans="12:13" x14ac:dyDescent="0.25">
      <c r="L839" s="273"/>
      <c r="M839" s="273"/>
    </row>
    <row r="840" spans="12:13" x14ac:dyDescent="0.25">
      <c r="L840" s="273"/>
      <c r="M840" s="273"/>
    </row>
    <row r="841" spans="12:13" x14ac:dyDescent="0.25">
      <c r="L841" s="273"/>
      <c r="M841" s="273"/>
    </row>
    <row r="842" spans="12:13" x14ac:dyDescent="0.25">
      <c r="L842" s="273"/>
      <c r="M842" s="273"/>
    </row>
    <row r="843" spans="12:13" x14ac:dyDescent="0.25">
      <c r="L843" s="273"/>
      <c r="M843" s="273"/>
    </row>
    <row r="844" spans="12:13" x14ac:dyDescent="0.25">
      <c r="L844" s="273"/>
      <c r="M844" s="273"/>
    </row>
    <row r="845" spans="12:13" x14ac:dyDescent="0.25">
      <c r="L845" s="273"/>
      <c r="M845" s="273"/>
    </row>
    <row r="846" spans="12:13" x14ac:dyDescent="0.25">
      <c r="L846" s="273"/>
      <c r="M846" s="273"/>
    </row>
    <row r="847" spans="12:13" x14ac:dyDescent="0.25">
      <c r="L847" s="273"/>
      <c r="M847" s="273"/>
    </row>
    <row r="848" spans="12:13" x14ac:dyDescent="0.25">
      <c r="L848" s="273"/>
      <c r="M848" s="273"/>
    </row>
    <row r="849" spans="12:13" x14ac:dyDescent="0.25">
      <c r="L849" s="273"/>
      <c r="M849" s="273"/>
    </row>
    <row r="850" spans="12:13" x14ac:dyDescent="0.25">
      <c r="L850" s="273"/>
      <c r="M850" s="273"/>
    </row>
    <row r="851" spans="12:13" x14ac:dyDescent="0.25">
      <c r="L851" s="273"/>
      <c r="M851" s="273"/>
    </row>
    <row r="852" spans="12:13" x14ac:dyDescent="0.25">
      <c r="L852" s="273"/>
      <c r="M852" s="273"/>
    </row>
    <row r="853" spans="12:13" x14ac:dyDescent="0.25">
      <c r="L853" s="273"/>
      <c r="M853" s="273"/>
    </row>
    <row r="854" spans="12:13" x14ac:dyDescent="0.25">
      <c r="L854" s="273"/>
      <c r="M854" s="273"/>
    </row>
    <row r="855" spans="12:13" x14ac:dyDescent="0.25">
      <c r="L855" s="273"/>
      <c r="M855" s="273"/>
    </row>
    <row r="856" spans="12:13" x14ac:dyDescent="0.25">
      <c r="L856" s="273"/>
      <c r="M856" s="273"/>
    </row>
    <row r="857" spans="12:13" x14ac:dyDescent="0.25">
      <c r="L857" s="273"/>
      <c r="M857" s="273"/>
    </row>
    <row r="858" spans="12:13" x14ac:dyDescent="0.25">
      <c r="L858" s="273"/>
      <c r="M858" s="273"/>
    </row>
    <row r="859" spans="12:13" x14ac:dyDescent="0.25">
      <c r="L859" s="273"/>
      <c r="M859" s="273"/>
    </row>
    <row r="860" spans="12:13" x14ac:dyDescent="0.25">
      <c r="L860" s="273"/>
      <c r="M860" s="273"/>
    </row>
    <row r="861" spans="12:13" x14ac:dyDescent="0.25">
      <c r="L861" s="273"/>
      <c r="M861" s="273"/>
    </row>
    <row r="862" spans="12:13" x14ac:dyDescent="0.25">
      <c r="L862" s="273"/>
      <c r="M862" s="273"/>
    </row>
    <row r="863" spans="12:13" x14ac:dyDescent="0.25">
      <c r="L863" s="273"/>
      <c r="M863" s="273"/>
    </row>
    <row r="864" spans="12:13" x14ac:dyDescent="0.25">
      <c r="L864" s="273"/>
      <c r="M864" s="273"/>
    </row>
    <row r="865" spans="12:13" x14ac:dyDescent="0.25">
      <c r="L865" s="273"/>
      <c r="M865" s="273"/>
    </row>
    <row r="866" spans="12:13" x14ac:dyDescent="0.25">
      <c r="L866" s="273"/>
      <c r="M866" s="273"/>
    </row>
    <row r="867" spans="12:13" x14ac:dyDescent="0.25">
      <c r="L867" s="273"/>
      <c r="M867" s="273"/>
    </row>
    <row r="868" spans="12:13" x14ac:dyDescent="0.25">
      <c r="L868" s="273"/>
      <c r="M868" s="273"/>
    </row>
    <row r="869" spans="12:13" x14ac:dyDescent="0.25">
      <c r="L869" s="273"/>
      <c r="M869" s="273"/>
    </row>
    <row r="870" spans="12:13" x14ac:dyDescent="0.25">
      <c r="L870" s="273"/>
      <c r="M870" s="273"/>
    </row>
    <row r="871" spans="12:13" x14ac:dyDescent="0.25">
      <c r="L871" s="273"/>
      <c r="M871" s="273"/>
    </row>
    <row r="872" spans="12:13" x14ac:dyDescent="0.25">
      <c r="L872" s="273"/>
      <c r="M872" s="273"/>
    </row>
    <row r="873" spans="12:13" x14ac:dyDescent="0.25">
      <c r="L873" s="273"/>
      <c r="M873" s="273"/>
    </row>
    <row r="874" spans="12:13" x14ac:dyDescent="0.25">
      <c r="L874" s="273"/>
      <c r="M874" s="273"/>
    </row>
    <row r="875" spans="12:13" x14ac:dyDescent="0.25">
      <c r="L875" s="273"/>
      <c r="M875" s="273"/>
    </row>
    <row r="876" spans="12:13" x14ac:dyDescent="0.25">
      <c r="L876" s="273"/>
      <c r="M876" s="273"/>
    </row>
    <row r="877" spans="12:13" x14ac:dyDescent="0.25">
      <c r="L877" s="273"/>
      <c r="M877" s="273"/>
    </row>
    <row r="878" spans="12:13" x14ac:dyDescent="0.25">
      <c r="L878" s="273"/>
      <c r="M878" s="273"/>
    </row>
    <row r="879" spans="12:13" x14ac:dyDescent="0.25">
      <c r="L879" s="273"/>
      <c r="M879" s="273"/>
    </row>
    <row r="880" spans="12:13" x14ac:dyDescent="0.25">
      <c r="L880" s="273"/>
      <c r="M880" s="273"/>
    </row>
    <row r="881" spans="12:13" x14ac:dyDescent="0.25">
      <c r="L881" s="273"/>
      <c r="M881" s="273"/>
    </row>
    <row r="882" spans="12:13" x14ac:dyDescent="0.25">
      <c r="L882" s="273"/>
      <c r="M882" s="273"/>
    </row>
    <row r="883" spans="12:13" x14ac:dyDescent="0.25">
      <c r="L883" s="273"/>
      <c r="M883" s="273"/>
    </row>
    <row r="884" spans="12:13" x14ac:dyDescent="0.25">
      <c r="L884" s="273"/>
      <c r="M884" s="273"/>
    </row>
    <row r="885" spans="12:13" x14ac:dyDescent="0.25">
      <c r="L885" s="273"/>
      <c r="M885" s="273"/>
    </row>
    <row r="886" spans="12:13" x14ac:dyDescent="0.25">
      <c r="L886" s="273"/>
      <c r="M886" s="273"/>
    </row>
    <row r="887" spans="12:13" x14ac:dyDescent="0.25">
      <c r="L887" s="273"/>
      <c r="M887" s="273"/>
    </row>
    <row r="888" spans="12:13" x14ac:dyDescent="0.25">
      <c r="L888" s="273"/>
      <c r="M888" s="273"/>
    </row>
    <row r="889" spans="12:13" x14ac:dyDescent="0.25">
      <c r="L889" s="273"/>
      <c r="M889" s="273"/>
    </row>
    <row r="890" spans="12:13" x14ac:dyDescent="0.25">
      <c r="L890" s="273"/>
      <c r="M890" s="273"/>
    </row>
    <row r="891" spans="12:13" x14ac:dyDescent="0.25">
      <c r="L891" s="273"/>
      <c r="M891" s="273"/>
    </row>
    <row r="892" spans="12:13" x14ac:dyDescent="0.25">
      <c r="L892" s="273"/>
      <c r="M892" s="273"/>
    </row>
    <row r="893" spans="12:13" x14ac:dyDescent="0.25">
      <c r="L893" s="273"/>
      <c r="M893" s="273"/>
    </row>
    <row r="894" spans="12:13" x14ac:dyDescent="0.25">
      <c r="L894" s="273"/>
      <c r="M894" s="273"/>
    </row>
    <row r="895" spans="12:13" x14ac:dyDescent="0.25">
      <c r="L895" s="273"/>
      <c r="M895" s="273"/>
    </row>
    <row r="896" spans="12:13" x14ac:dyDescent="0.25">
      <c r="L896" s="273"/>
      <c r="M896" s="273"/>
    </row>
    <row r="897" spans="12:13" x14ac:dyDescent="0.25">
      <c r="L897" s="273"/>
      <c r="M897" s="273"/>
    </row>
    <row r="898" spans="12:13" x14ac:dyDescent="0.25">
      <c r="L898" s="273"/>
      <c r="M898" s="273"/>
    </row>
    <row r="899" spans="12:13" x14ac:dyDescent="0.25">
      <c r="L899" s="273"/>
      <c r="M899" s="273"/>
    </row>
    <row r="900" spans="12:13" x14ac:dyDescent="0.25">
      <c r="L900" s="273"/>
      <c r="M900" s="273"/>
    </row>
    <row r="901" spans="12:13" x14ac:dyDescent="0.25">
      <c r="L901" s="273"/>
      <c r="M901" s="273"/>
    </row>
    <row r="902" spans="12:13" x14ac:dyDescent="0.25">
      <c r="L902" s="273"/>
      <c r="M902" s="273"/>
    </row>
    <row r="903" spans="12:13" x14ac:dyDescent="0.25">
      <c r="L903" s="273"/>
      <c r="M903" s="273"/>
    </row>
    <row r="904" spans="12:13" x14ac:dyDescent="0.25">
      <c r="L904" s="273"/>
      <c r="M904" s="273"/>
    </row>
    <row r="905" spans="12:13" x14ac:dyDescent="0.25">
      <c r="L905" s="273"/>
      <c r="M905" s="273"/>
    </row>
    <row r="906" spans="12:13" x14ac:dyDescent="0.25">
      <c r="L906" s="273"/>
      <c r="M906" s="273"/>
    </row>
    <row r="907" spans="12:13" x14ac:dyDescent="0.25">
      <c r="L907" s="273"/>
      <c r="M907" s="273"/>
    </row>
    <row r="908" spans="12:13" x14ac:dyDescent="0.25">
      <c r="L908" s="273"/>
      <c r="M908" s="273"/>
    </row>
    <row r="909" spans="12:13" x14ac:dyDescent="0.25">
      <c r="L909" s="273"/>
      <c r="M909" s="273"/>
    </row>
    <row r="910" spans="12:13" x14ac:dyDescent="0.25">
      <c r="L910" s="273"/>
      <c r="M910" s="273"/>
    </row>
    <row r="911" spans="12:13" x14ac:dyDescent="0.25">
      <c r="L911" s="273"/>
      <c r="M911" s="273"/>
    </row>
    <row r="912" spans="12:13" x14ac:dyDescent="0.25">
      <c r="L912" s="273"/>
      <c r="M912" s="273"/>
    </row>
    <row r="913" spans="12:13" x14ac:dyDescent="0.25">
      <c r="L913" s="273"/>
      <c r="M913" s="273"/>
    </row>
    <row r="914" spans="12:13" x14ac:dyDescent="0.25">
      <c r="L914" s="273"/>
      <c r="M914" s="273"/>
    </row>
    <row r="915" spans="12:13" x14ac:dyDescent="0.25">
      <c r="L915" s="273"/>
      <c r="M915" s="273"/>
    </row>
    <row r="916" spans="12:13" x14ac:dyDescent="0.25">
      <c r="L916" s="273"/>
      <c r="M916" s="273"/>
    </row>
    <row r="917" spans="12:13" x14ac:dyDescent="0.25">
      <c r="L917" s="273"/>
      <c r="M917" s="273"/>
    </row>
    <row r="918" spans="12:13" x14ac:dyDescent="0.25">
      <c r="L918" s="273"/>
      <c r="M918" s="273"/>
    </row>
    <row r="919" spans="12:13" x14ac:dyDescent="0.25">
      <c r="L919" s="273"/>
      <c r="M919" s="273"/>
    </row>
    <row r="920" spans="12:13" x14ac:dyDescent="0.25">
      <c r="L920" s="273"/>
      <c r="M920" s="273"/>
    </row>
    <row r="921" spans="12:13" x14ac:dyDescent="0.25">
      <c r="L921" s="273"/>
      <c r="M921" s="273"/>
    </row>
    <row r="922" spans="12:13" x14ac:dyDescent="0.25">
      <c r="L922" s="273"/>
      <c r="M922" s="273"/>
    </row>
    <row r="923" spans="12:13" x14ac:dyDescent="0.25">
      <c r="L923" s="273"/>
      <c r="M923" s="273"/>
    </row>
    <row r="924" spans="12:13" x14ac:dyDescent="0.25">
      <c r="L924" s="273"/>
      <c r="M924" s="273"/>
    </row>
    <row r="925" spans="12:13" x14ac:dyDescent="0.25">
      <c r="L925" s="273"/>
      <c r="M925" s="273"/>
    </row>
    <row r="926" spans="12:13" x14ac:dyDescent="0.25">
      <c r="L926" s="273"/>
      <c r="M926" s="273"/>
    </row>
    <row r="927" spans="12:13" x14ac:dyDescent="0.25">
      <c r="L927" s="273"/>
      <c r="M927" s="273"/>
    </row>
    <row r="928" spans="12:13" x14ac:dyDescent="0.25">
      <c r="L928" s="273"/>
      <c r="M928" s="273"/>
    </row>
    <row r="929" spans="12:13" x14ac:dyDescent="0.25">
      <c r="L929" s="273"/>
      <c r="M929" s="273"/>
    </row>
    <row r="930" spans="12:13" x14ac:dyDescent="0.25">
      <c r="L930" s="273"/>
      <c r="M930" s="273"/>
    </row>
    <row r="931" spans="12:13" x14ac:dyDescent="0.25">
      <c r="L931" s="264"/>
      <c r="M931" s="264"/>
    </row>
    <row r="1026" ht="35.450000000000003" customHeight="1" x14ac:dyDescent="0.25"/>
    <row r="1027" ht="20.45" customHeight="1" x14ac:dyDescent="0.25"/>
    <row r="1032" ht="29.45" customHeight="1" x14ac:dyDescent="0.25"/>
    <row r="1055" ht="31.9" customHeight="1" x14ac:dyDescent="0.25"/>
  </sheetData>
  <autoFilter ref="A8:J250" xr:uid="{00000000-0009-0000-0000-000001000000}">
    <sortState xmlns:xlrd2="http://schemas.microsoft.com/office/spreadsheetml/2017/richdata2" ref="A9:J252">
      <sortCondition descending="1" ref="B9:B250"/>
    </sortState>
  </autoFilter>
  <mergeCells count="11">
    <mergeCell ref="A252:I252"/>
    <mergeCell ref="E6:F6"/>
    <mergeCell ref="G6:J6"/>
    <mergeCell ref="B7:J7"/>
    <mergeCell ref="E1:J1"/>
    <mergeCell ref="E2:F3"/>
    <mergeCell ref="G2:J3"/>
    <mergeCell ref="E4:F4"/>
    <mergeCell ref="G4:J4"/>
    <mergeCell ref="E5:F5"/>
    <mergeCell ref="G5:J5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54" orientation="portrait" horizontalDpi="360" verticalDpi="360" r:id="rId1"/>
  <headerFooter>
    <oddFooter>&amp;C&amp;"Arial Narrow,Normal"Página &amp;P</oddFooter>
  </headerFooter>
  <rowBreaks count="1" manualBreakCount="1">
    <brk id="229" max="9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2060"/>
    <pageSetUpPr fitToPage="1"/>
  </sheetPr>
  <dimension ref="A1:N1056"/>
  <sheetViews>
    <sheetView view="pageBreakPreview" zoomScaleNormal="100" zoomScaleSheetLayoutView="100" workbookViewId="0">
      <selection activeCell="I9" sqref="I9"/>
    </sheetView>
  </sheetViews>
  <sheetFormatPr defaultRowHeight="15" x14ac:dyDescent="0.25"/>
  <cols>
    <col min="4" max="4" width="54.140625" customWidth="1"/>
    <col min="5" max="5" width="9.5703125" bestFit="1" customWidth="1"/>
    <col min="6" max="6" width="10.7109375" style="484" bestFit="1" customWidth="1"/>
    <col min="7" max="7" width="16.28515625" bestFit="1" customWidth="1"/>
    <col min="8" max="8" width="13.7109375" bestFit="1" customWidth="1"/>
    <col min="9" max="9" width="13.7109375" customWidth="1"/>
    <col min="10" max="10" width="15.42578125" bestFit="1" customWidth="1"/>
    <col min="11" max="11" width="16.140625" bestFit="1" customWidth="1"/>
    <col min="12" max="13" width="17.28515625" bestFit="1" customWidth="1"/>
  </cols>
  <sheetData>
    <row r="1" spans="1:13" ht="18" customHeight="1" x14ac:dyDescent="0.25">
      <c r="A1" s="25"/>
      <c r="B1" s="26"/>
      <c r="C1" s="26"/>
      <c r="D1" s="27"/>
      <c r="E1" s="868" t="s">
        <v>783</v>
      </c>
      <c r="F1" s="868"/>
      <c r="G1" s="868"/>
      <c r="H1" s="868"/>
      <c r="I1" s="868"/>
      <c r="J1" s="868"/>
    </row>
    <row r="2" spans="1:13" ht="20.45" customHeight="1" x14ac:dyDescent="0.25">
      <c r="A2" s="28"/>
      <c r="B2" s="29"/>
      <c r="C2" s="29"/>
      <c r="D2" s="30" t="s">
        <v>0</v>
      </c>
      <c r="E2" s="779" t="s">
        <v>22</v>
      </c>
      <c r="F2" s="780"/>
      <c r="G2" s="783" t="s">
        <v>832</v>
      </c>
      <c r="H2" s="783"/>
      <c r="I2" s="783"/>
      <c r="J2" s="783"/>
    </row>
    <row r="3" spans="1:13" ht="15.6" customHeight="1" x14ac:dyDescent="0.25">
      <c r="A3" s="28"/>
      <c r="B3" s="29"/>
      <c r="C3" s="29"/>
      <c r="D3" s="31" t="s">
        <v>1</v>
      </c>
      <c r="E3" s="781"/>
      <c r="F3" s="782"/>
      <c r="G3" s="783"/>
      <c r="H3" s="783"/>
      <c r="I3" s="783"/>
      <c r="J3" s="783"/>
    </row>
    <row r="4" spans="1:13" ht="15.6" customHeight="1" x14ac:dyDescent="0.25">
      <c r="A4" s="28"/>
      <c r="B4" s="29"/>
      <c r="C4" s="29"/>
      <c r="D4" s="32"/>
      <c r="E4" s="784" t="s">
        <v>23</v>
      </c>
      <c r="F4" s="785"/>
      <c r="G4" s="786" t="s">
        <v>781</v>
      </c>
      <c r="H4" s="786"/>
      <c r="I4" s="786"/>
      <c r="J4" s="786"/>
    </row>
    <row r="5" spans="1:13" ht="17.45" customHeight="1" x14ac:dyDescent="0.25">
      <c r="A5" s="28"/>
      <c r="B5" s="29"/>
      <c r="C5" s="29"/>
      <c r="D5" s="33"/>
      <c r="E5" s="790" t="s">
        <v>24</v>
      </c>
      <c r="F5" s="791"/>
      <c r="G5" s="792">
        <v>0.2135</v>
      </c>
      <c r="H5" s="792"/>
      <c r="I5" s="792"/>
      <c r="J5" s="792"/>
    </row>
    <row r="6" spans="1:13" ht="17.45" customHeight="1" x14ac:dyDescent="0.25">
      <c r="A6" s="28"/>
      <c r="B6" s="29"/>
      <c r="C6" s="29"/>
      <c r="D6" s="33"/>
      <c r="E6" s="790" t="s">
        <v>786</v>
      </c>
      <c r="F6" s="791"/>
      <c r="G6" s="812">
        <v>0.1401</v>
      </c>
      <c r="H6" s="813"/>
      <c r="I6" s="813"/>
      <c r="J6" s="814"/>
    </row>
    <row r="7" spans="1:13" ht="28.15" customHeight="1" x14ac:dyDescent="0.25">
      <c r="A7" s="34"/>
      <c r="B7" s="35"/>
      <c r="C7" s="35"/>
      <c r="D7" s="33"/>
      <c r="E7" s="793" t="s">
        <v>25</v>
      </c>
      <c r="F7" s="794"/>
      <c r="G7" s="795" t="s">
        <v>467</v>
      </c>
      <c r="H7" s="795"/>
      <c r="I7" s="795"/>
      <c r="J7" s="796"/>
    </row>
    <row r="8" spans="1:13" ht="28.9" customHeight="1" x14ac:dyDescent="0.25">
      <c r="A8" s="1" t="s">
        <v>2</v>
      </c>
      <c r="B8" s="810" t="s">
        <v>699</v>
      </c>
      <c r="C8" s="811"/>
      <c r="D8" s="811"/>
      <c r="E8" s="811"/>
      <c r="F8" s="811"/>
      <c r="G8" s="811"/>
      <c r="H8" s="811"/>
      <c r="I8" s="811"/>
      <c r="J8" s="811"/>
    </row>
    <row r="9" spans="1:13" ht="25.5" x14ac:dyDescent="0.25">
      <c r="A9" s="2" t="s">
        <v>3</v>
      </c>
      <c r="B9" s="2" t="s">
        <v>4</v>
      </c>
      <c r="C9" s="3" t="s">
        <v>14</v>
      </c>
      <c r="D9" s="3" t="s">
        <v>15</v>
      </c>
      <c r="E9" s="2" t="s">
        <v>16</v>
      </c>
      <c r="F9" s="488" t="s">
        <v>17</v>
      </c>
      <c r="G9" s="4" t="s">
        <v>18</v>
      </c>
      <c r="H9" s="5" t="s">
        <v>19</v>
      </c>
      <c r="I9" s="5" t="s">
        <v>20</v>
      </c>
      <c r="J9" s="4" t="s">
        <v>21</v>
      </c>
    </row>
    <row r="10" spans="1:13" x14ac:dyDescent="0.25">
      <c r="A10" s="6" t="s">
        <v>5</v>
      </c>
      <c r="B10" s="798" t="s">
        <v>8</v>
      </c>
      <c r="C10" s="799"/>
      <c r="D10" s="799"/>
      <c r="E10" s="799"/>
      <c r="F10" s="799"/>
      <c r="G10" s="799"/>
      <c r="H10" s="799"/>
      <c r="I10" s="800"/>
      <c r="J10" s="7">
        <f>SUM(J11:J12)</f>
        <v>171579.2</v>
      </c>
      <c r="K10" s="264"/>
    </row>
    <row r="11" spans="1:13" x14ac:dyDescent="0.25">
      <c r="A11" s="9" t="s">
        <v>9</v>
      </c>
      <c r="B11" s="775" t="s">
        <v>43</v>
      </c>
      <c r="C11" s="776"/>
      <c r="D11" s="11" t="s">
        <v>461</v>
      </c>
      <c r="E11" s="12" t="s">
        <v>437</v>
      </c>
      <c r="F11" s="489">
        <v>8</v>
      </c>
      <c r="G11" s="574">
        <f>COMPOSIÇÕES!J15</f>
        <v>17674</v>
      </c>
      <c r="H11" s="255">
        <f>G11*$G$5</f>
        <v>3773.4</v>
      </c>
      <c r="I11" s="256">
        <f>G11+H11</f>
        <v>21447.4</v>
      </c>
      <c r="J11" s="257">
        <f>I11*F11</f>
        <v>171579.2</v>
      </c>
      <c r="L11" s="273"/>
      <c r="M11" s="273"/>
    </row>
    <row r="12" spans="1:13" ht="16.149999999999999" customHeight="1" x14ac:dyDescent="0.25">
      <c r="A12" s="19"/>
      <c r="B12" s="19"/>
      <c r="C12" s="20"/>
      <c r="D12" s="20"/>
      <c r="E12" s="21"/>
      <c r="F12" s="490"/>
      <c r="G12" s="22"/>
      <c r="H12" s="23"/>
      <c r="I12" s="22"/>
      <c r="J12" s="24"/>
      <c r="L12" s="273"/>
      <c r="M12" s="273"/>
    </row>
    <row r="13" spans="1:13" x14ac:dyDescent="0.25">
      <c r="A13" s="37" t="s">
        <v>26</v>
      </c>
      <c r="B13" s="801" t="s">
        <v>6</v>
      </c>
      <c r="C13" s="802"/>
      <c r="D13" s="802"/>
      <c r="E13" s="802"/>
      <c r="F13" s="802"/>
      <c r="G13" s="802"/>
      <c r="H13" s="802"/>
      <c r="I13" s="803"/>
      <c r="J13" s="253">
        <f>SUM(J14:J19)</f>
        <v>31915.16</v>
      </c>
      <c r="K13" s="264"/>
      <c r="L13" s="273"/>
      <c r="M13" s="273"/>
    </row>
    <row r="14" spans="1:13" ht="25.5" x14ac:dyDescent="0.25">
      <c r="A14" s="9" t="s">
        <v>27</v>
      </c>
      <c r="B14" s="820" t="s">
        <v>586</v>
      </c>
      <c r="C14" s="821"/>
      <c r="D14" s="56" t="s">
        <v>29</v>
      </c>
      <c r="E14" s="571" t="s">
        <v>30</v>
      </c>
      <c r="F14" s="625">
        <f>MC!N18</f>
        <v>6</v>
      </c>
      <c r="G14" s="487">
        <f>COMPOSIÇÕES!J26</f>
        <v>321.82</v>
      </c>
      <c r="H14" s="511">
        <f>G14*$G$5</f>
        <v>68.709999999999994</v>
      </c>
      <c r="I14" s="14">
        <f>G14+H14</f>
        <v>390.53</v>
      </c>
      <c r="J14" s="15">
        <f>I14*F14</f>
        <v>2343.1799999999998</v>
      </c>
      <c r="L14" s="273"/>
      <c r="M14" s="273"/>
    </row>
    <row r="15" spans="1:13" x14ac:dyDescent="0.25">
      <c r="A15" s="9" t="s">
        <v>435</v>
      </c>
      <c r="B15" s="820" t="s">
        <v>737</v>
      </c>
      <c r="C15" s="821"/>
      <c r="D15" s="56" t="s">
        <v>434</v>
      </c>
      <c r="E15" s="571" t="s">
        <v>30</v>
      </c>
      <c r="F15" s="625">
        <f>MC!N21</f>
        <v>1084.02</v>
      </c>
      <c r="G15" s="487">
        <f>COMPOSIÇÕES!J37</f>
        <v>4.25</v>
      </c>
      <c r="H15" s="511">
        <f>G15*$G$5</f>
        <v>0.91</v>
      </c>
      <c r="I15" s="14">
        <f t="shared" ref="I15:I19" si="0">G15+H15</f>
        <v>5.16</v>
      </c>
      <c r="J15" s="15">
        <f t="shared" ref="J15:J19" si="1">I15*F15</f>
        <v>5593.54</v>
      </c>
      <c r="L15" s="273"/>
      <c r="M15" s="273"/>
    </row>
    <row r="16" spans="1:13" ht="36.6" customHeight="1" x14ac:dyDescent="0.25">
      <c r="A16" s="9" t="s">
        <v>438</v>
      </c>
      <c r="B16" s="43" t="s">
        <v>701</v>
      </c>
      <c r="C16" s="10" t="s">
        <v>10</v>
      </c>
      <c r="D16" s="527" t="s">
        <v>436</v>
      </c>
      <c r="E16" s="9" t="s">
        <v>437</v>
      </c>
      <c r="F16" s="625">
        <f>MC!N24</f>
        <v>10</v>
      </c>
      <c r="G16" s="487">
        <v>585</v>
      </c>
      <c r="H16" s="511">
        <f>G16*G6</f>
        <v>81.96</v>
      </c>
      <c r="I16" s="14">
        <f t="shared" si="0"/>
        <v>666.96</v>
      </c>
      <c r="J16" s="15">
        <f t="shared" si="1"/>
        <v>6669.6</v>
      </c>
      <c r="L16" s="273"/>
      <c r="M16" s="273"/>
    </row>
    <row r="17" spans="1:13" ht="34.9" customHeight="1" x14ac:dyDescent="0.25">
      <c r="A17" s="9" t="s">
        <v>439</v>
      </c>
      <c r="B17" s="43" t="s">
        <v>702</v>
      </c>
      <c r="C17" s="10" t="s">
        <v>10</v>
      </c>
      <c r="D17" s="527" t="s">
        <v>442</v>
      </c>
      <c r="E17" s="9" t="s">
        <v>437</v>
      </c>
      <c r="F17" s="625">
        <f>MC!N27</f>
        <v>10</v>
      </c>
      <c r="G17" s="487">
        <v>664.21</v>
      </c>
      <c r="H17" s="511">
        <f>G17*G6</f>
        <v>93.06</v>
      </c>
      <c r="I17" s="14">
        <f t="shared" si="0"/>
        <v>757.27</v>
      </c>
      <c r="J17" s="15">
        <f t="shared" si="1"/>
        <v>7572.7</v>
      </c>
      <c r="L17" s="273"/>
      <c r="M17" s="273"/>
    </row>
    <row r="18" spans="1:13" ht="38.25" x14ac:dyDescent="0.25">
      <c r="A18" s="9" t="s">
        <v>440</v>
      </c>
      <c r="B18" s="820" t="s">
        <v>738</v>
      </c>
      <c r="C18" s="821"/>
      <c r="D18" s="527" t="s">
        <v>443</v>
      </c>
      <c r="E18" s="9" t="s">
        <v>57</v>
      </c>
      <c r="F18" s="625">
        <f>MC!N30</f>
        <v>1</v>
      </c>
      <c r="G18" s="487">
        <f>COMPOSIÇÕES!J60</f>
        <v>3071.95</v>
      </c>
      <c r="H18" s="511">
        <f>G18*$G$5</f>
        <v>655.86</v>
      </c>
      <c r="I18" s="14">
        <f t="shared" si="0"/>
        <v>3727.81</v>
      </c>
      <c r="J18" s="15">
        <f t="shared" si="1"/>
        <v>3727.81</v>
      </c>
      <c r="L18" s="273"/>
      <c r="M18" s="273"/>
    </row>
    <row r="19" spans="1:13" ht="38.25" x14ac:dyDescent="0.25">
      <c r="A19" s="9" t="s">
        <v>441</v>
      </c>
      <c r="B19" s="16">
        <v>93214</v>
      </c>
      <c r="C19" s="17" t="s">
        <v>10</v>
      </c>
      <c r="D19" s="314" t="s">
        <v>444</v>
      </c>
      <c r="E19" s="18" t="s">
        <v>57</v>
      </c>
      <c r="F19" s="505">
        <f>MC!N33</f>
        <v>1</v>
      </c>
      <c r="G19" s="307">
        <v>4951.24</v>
      </c>
      <c r="H19" s="511">
        <f>G19*$G$5</f>
        <v>1057.0899999999999</v>
      </c>
      <c r="I19" s="14">
        <f t="shared" si="0"/>
        <v>6008.33</v>
      </c>
      <c r="J19" s="15">
        <f t="shared" si="1"/>
        <v>6008.33</v>
      </c>
      <c r="L19" s="273"/>
      <c r="M19" s="273"/>
    </row>
    <row r="20" spans="1:13" x14ac:dyDescent="0.25">
      <c r="A20" s="9"/>
      <c r="B20" s="16"/>
      <c r="C20" s="17"/>
      <c r="D20" s="314"/>
      <c r="E20" s="325"/>
      <c r="F20" s="492"/>
      <c r="G20" s="307"/>
      <c r="H20" s="308"/>
      <c r="I20" s="309"/>
      <c r="J20" s="310"/>
      <c r="L20" s="273"/>
      <c r="M20" s="273"/>
    </row>
    <row r="21" spans="1:13" x14ac:dyDescent="0.25">
      <c r="A21" s="412" t="s">
        <v>31</v>
      </c>
      <c r="B21" s="787" t="s">
        <v>573</v>
      </c>
      <c r="C21" s="788"/>
      <c r="D21" s="788"/>
      <c r="E21" s="788"/>
      <c r="F21" s="788"/>
      <c r="G21" s="788"/>
      <c r="H21" s="788"/>
      <c r="I21" s="789"/>
      <c r="J21" s="434">
        <f>SUM(J22:J26)</f>
        <v>38062.910000000003</v>
      </c>
      <c r="K21" s="264"/>
      <c r="L21" s="273"/>
      <c r="M21" s="273"/>
    </row>
    <row r="22" spans="1:13" ht="38.25" x14ac:dyDescent="0.25">
      <c r="A22" s="9" t="s">
        <v>32</v>
      </c>
      <c r="B22" s="416">
        <v>92335</v>
      </c>
      <c r="C22" s="12" t="s">
        <v>10</v>
      </c>
      <c r="D22" s="417" t="s">
        <v>787</v>
      </c>
      <c r="E22" s="12" t="s">
        <v>42</v>
      </c>
      <c r="F22" s="493">
        <f>MC!N37</f>
        <v>141</v>
      </c>
      <c r="G22" s="573">
        <v>118.27</v>
      </c>
      <c r="H22" s="419">
        <f>G22*$G$5</f>
        <v>25.25</v>
      </c>
      <c r="I22" s="420">
        <f>G22+H22</f>
        <v>143.52000000000001</v>
      </c>
      <c r="J22" s="747">
        <f>I22*F22</f>
        <v>20236.32</v>
      </c>
      <c r="L22" s="273"/>
      <c r="M22" s="273"/>
    </row>
    <row r="23" spans="1:13" ht="25.5" x14ac:dyDescent="0.25">
      <c r="A23" s="9" t="s">
        <v>39</v>
      </c>
      <c r="B23" s="411">
        <v>5213440</v>
      </c>
      <c r="C23" s="18" t="s">
        <v>833</v>
      </c>
      <c r="D23" s="11" t="s">
        <v>834</v>
      </c>
      <c r="E23" s="18" t="s">
        <v>30</v>
      </c>
      <c r="F23" s="492">
        <f>MC!N40</f>
        <v>47</v>
      </c>
      <c r="G23" s="307">
        <v>215.95</v>
      </c>
      <c r="H23" s="419">
        <f t="shared" ref="H23:H26" si="2">G23*$G$5</f>
        <v>46.11</v>
      </c>
      <c r="I23" s="420">
        <f t="shared" ref="I23:I26" si="3">G23+H23</f>
        <v>262.06</v>
      </c>
      <c r="J23" s="747">
        <f t="shared" ref="J23:J26" si="4">I23*F23</f>
        <v>12316.82</v>
      </c>
      <c r="L23" s="273"/>
      <c r="M23" s="273"/>
    </row>
    <row r="24" spans="1:13" ht="25.5" x14ac:dyDescent="0.25">
      <c r="A24" s="9" t="s">
        <v>46</v>
      </c>
      <c r="B24" s="804" t="s">
        <v>740</v>
      </c>
      <c r="C24" s="805"/>
      <c r="D24" s="56" t="s">
        <v>579</v>
      </c>
      <c r="E24" s="9" t="s">
        <v>57</v>
      </c>
      <c r="F24" s="492">
        <f>MC!N43</f>
        <v>47</v>
      </c>
      <c r="G24" s="307">
        <f>COMPOSIÇÕES!J68</f>
        <v>81.67</v>
      </c>
      <c r="H24" s="419">
        <f t="shared" si="2"/>
        <v>17.440000000000001</v>
      </c>
      <c r="I24" s="420">
        <f t="shared" si="3"/>
        <v>99.11</v>
      </c>
      <c r="J24" s="747">
        <f t="shared" si="4"/>
        <v>4658.17</v>
      </c>
      <c r="L24" s="273"/>
      <c r="M24" s="273"/>
    </row>
    <row r="25" spans="1:13" ht="25.5" x14ac:dyDescent="0.25">
      <c r="A25" s="9" t="s">
        <v>580</v>
      </c>
      <c r="B25" s="422" t="s">
        <v>581</v>
      </c>
      <c r="C25" s="106" t="s">
        <v>10</v>
      </c>
      <c r="D25" s="56" t="s">
        <v>582</v>
      </c>
      <c r="E25" s="18" t="s">
        <v>34</v>
      </c>
      <c r="F25" s="492">
        <f>MC!N46</f>
        <v>1.76</v>
      </c>
      <c r="G25" s="307">
        <v>58.7</v>
      </c>
      <c r="H25" s="419">
        <f t="shared" si="2"/>
        <v>12.53</v>
      </c>
      <c r="I25" s="420">
        <f t="shared" si="3"/>
        <v>71.23</v>
      </c>
      <c r="J25" s="746">
        <f t="shared" si="4"/>
        <v>125.36499999999999</v>
      </c>
      <c r="L25" s="273"/>
      <c r="M25" s="273"/>
    </row>
    <row r="26" spans="1:13" ht="25.5" x14ac:dyDescent="0.25">
      <c r="A26" s="9" t="s">
        <v>583</v>
      </c>
      <c r="B26" s="422" t="s">
        <v>584</v>
      </c>
      <c r="C26" s="106" t="s">
        <v>10</v>
      </c>
      <c r="D26" s="56" t="s">
        <v>585</v>
      </c>
      <c r="E26" s="18" t="s">
        <v>34</v>
      </c>
      <c r="F26" s="492">
        <f>MC!N49</f>
        <v>1.76</v>
      </c>
      <c r="G26" s="307">
        <v>340.03</v>
      </c>
      <c r="H26" s="419">
        <f t="shared" si="2"/>
        <v>72.599999999999994</v>
      </c>
      <c r="I26" s="420">
        <f t="shared" si="3"/>
        <v>412.63</v>
      </c>
      <c r="J26" s="747">
        <f t="shared" si="4"/>
        <v>726.23</v>
      </c>
      <c r="L26" s="273"/>
      <c r="M26" s="273"/>
    </row>
    <row r="27" spans="1:13" x14ac:dyDescent="0.25">
      <c r="A27" s="9"/>
      <c r="B27" s="16"/>
      <c r="C27" s="17"/>
      <c r="D27" s="314"/>
      <c r="E27" s="325"/>
      <c r="F27" s="492"/>
      <c r="G27" s="307"/>
      <c r="H27" s="308"/>
      <c r="I27" s="309"/>
      <c r="J27" s="310"/>
      <c r="L27" s="273"/>
      <c r="M27" s="273"/>
    </row>
    <row r="28" spans="1:13" x14ac:dyDescent="0.25">
      <c r="A28" s="815" t="s">
        <v>464</v>
      </c>
      <c r="B28" s="816"/>
      <c r="C28" s="816"/>
      <c r="D28" s="816"/>
      <c r="E28" s="816"/>
      <c r="F28" s="816"/>
      <c r="G28" s="816"/>
      <c r="H28" s="816"/>
      <c r="I28" s="816"/>
      <c r="J28" s="817"/>
      <c r="L28" s="273"/>
      <c r="M28" s="273"/>
    </row>
    <row r="29" spans="1:13" x14ac:dyDescent="0.25">
      <c r="A29" s="37" t="s">
        <v>60</v>
      </c>
      <c r="B29" s="801" t="s">
        <v>235</v>
      </c>
      <c r="C29" s="802"/>
      <c r="D29" s="802"/>
      <c r="E29" s="802"/>
      <c r="F29" s="802"/>
      <c r="G29" s="802"/>
      <c r="H29" s="802"/>
      <c r="I29" s="803"/>
      <c r="J29" s="254">
        <f>SUM(J30:J40)</f>
        <v>36693.33</v>
      </c>
      <c r="L29" s="273"/>
      <c r="M29" s="273"/>
    </row>
    <row r="30" spans="1:13" x14ac:dyDescent="0.25">
      <c r="A30" s="44" t="s">
        <v>61</v>
      </c>
      <c r="B30" s="45"/>
      <c r="C30" s="45"/>
      <c r="D30" s="45" t="s">
        <v>33</v>
      </c>
      <c r="E30" s="36"/>
      <c r="F30" s="494"/>
      <c r="G30" s="50"/>
      <c r="H30" s="36"/>
      <c r="I30" s="36"/>
      <c r="J30" s="36"/>
      <c r="L30" s="273"/>
      <c r="M30" s="273"/>
    </row>
    <row r="31" spans="1:13" ht="25.5" x14ac:dyDescent="0.25">
      <c r="A31" s="50" t="s">
        <v>62</v>
      </c>
      <c r="B31" s="18">
        <v>101114</v>
      </c>
      <c r="C31" s="18" t="s">
        <v>10</v>
      </c>
      <c r="D31" s="48" t="s">
        <v>270</v>
      </c>
      <c r="E31" s="18" t="s">
        <v>34</v>
      </c>
      <c r="F31" s="745">
        <f>MC!N55</f>
        <v>37.25</v>
      </c>
      <c r="G31" s="50">
        <v>2.94</v>
      </c>
      <c r="H31" s="419">
        <f t="shared" ref="H31:H33" si="5">G31*$G$5</f>
        <v>0.63</v>
      </c>
      <c r="I31" s="420">
        <f t="shared" ref="I31" si="6">G31+H31</f>
        <v>3.57</v>
      </c>
      <c r="J31" s="747">
        <f t="shared" ref="J31" si="7">I31*F31</f>
        <v>132.97999999999999</v>
      </c>
      <c r="K31" s="735">
        <f>J31+J43+J55+J67+J79+J105+J117+J129+J156+J168+J180+J208+J225+J253+J279+J306+J318+J346</f>
        <v>6303.4</v>
      </c>
      <c r="L31" s="744">
        <f>K31-K31*0.2135</f>
        <v>4957.6241</v>
      </c>
      <c r="M31" s="273"/>
    </row>
    <row r="32" spans="1:13" ht="51" x14ac:dyDescent="0.25">
      <c r="A32" s="50" t="s">
        <v>63</v>
      </c>
      <c r="B32" s="50">
        <v>100973</v>
      </c>
      <c r="C32" s="50" t="s">
        <v>10</v>
      </c>
      <c r="D32" s="41" t="s">
        <v>45</v>
      </c>
      <c r="E32" s="50" t="s">
        <v>34</v>
      </c>
      <c r="F32" s="745">
        <f>MC!N58</f>
        <v>46.56</v>
      </c>
      <c r="G32" s="50">
        <v>6.43</v>
      </c>
      <c r="H32" s="419">
        <f t="shared" si="5"/>
        <v>1.37</v>
      </c>
      <c r="I32" s="420">
        <f t="shared" ref="I32:I33" si="8">G32+H32</f>
        <v>7.8</v>
      </c>
      <c r="J32" s="747">
        <f t="shared" ref="J32:J33" si="9">I32*F32</f>
        <v>363.17</v>
      </c>
      <c r="L32" s="743">
        <f>L31/G31</f>
        <v>1686.27</v>
      </c>
      <c r="M32" s="273"/>
    </row>
    <row r="33" spans="1:14" ht="38.25" x14ac:dyDescent="0.25">
      <c r="A33" s="50" t="s">
        <v>64</v>
      </c>
      <c r="B33" s="18">
        <v>95875</v>
      </c>
      <c r="C33" s="18" t="s">
        <v>10</v>
      </c>
      <c r="D33" s="49" t="s">
        <v>35</v>
      </c>
      <c r="E33" s="18" t="s">
        <v>36</v>
      </c>
      <c r="F33" s="745">
        <f>MC!N61</f>
        <v>232.8</v>
      </c>
      <c r="G33" s="50">
        <v>1.75</v>
      </c>
      <c r="H33" s="419">
        <f t="shared" si="5"/>
        <v>0.37</v>
      </c>
      <c r="I33" s="420">
        <f t="shared" si="8"/>
        <v>2.12</v>
      </c>
      <c r="J33" s="747">
        <f t="shared" si="9"/>
        <v>493.54</v>
      </c>
      <c r="L33" s="273"/>
      <c r="M33" s="273"/>
    </row>
    <row r="34" spans="1:14" x14ac:dyDescent="0.25">
      <c r="A34" s="36"/>
      <c r="B34" s="36"/>
      <c r="C34" s="36"/>
      <c r="D34" s="36"/>
      <c r="E34" s="36"/>
      <c r="F34" s="494"/>
      <c r="G34" s="50"/>
      <c r="H34" s="36"/>
      <c r="I34" s="36"/>
      <c r="J34" s="36"/>
      <c r="L34" s="273"/>
      <c r="M34" s="273"/>
    </row>
    <row r="35" spans="1:14" x14ac:dyDescent="0.25">
      <c r="A35" s="44" t="s">
        <v>65</v>
      </c>
      <c r="B35" s="45"/>
      <c r="C35" s="45"/>
      <c r="D35" s="45" t="s">
        <v>40</v>
      </c>
      <c r="E35" s="36"/>
      <c r="F35" s="494"/>
      <c r="G35" s="50"/>
      <c r="H35" s="36"/>
      <c r="I35" s="36"/>
      <c r="J35" s="36"/>
      <c r="L35" s="273"/>
      <c r="M35" s="273"/>
    </row>
    <row r="36" spans="1:14" x14ac:dyDescent="0.25">
      <c r="A36" s="50" t="s">
        <v>66</v>
      </c>
      <c r="B36" s="9">
        <v>99064</v>
      </c>
      <c r="C36" s="10" t="s">
        <v>10</v>
      </c>
      <c r="D36" s="41" t="s">
        <v>41</v>
      </c>
      <c r="E36" s="46" t="s">
        <v>42</v>
      </c>
      <c r="F36" s="504">
        <f>MC!N65</f>
        <v>53.22</v>
      </c>
      <c r="G36" s="50">
        <v>0.49</v>
      </c>
      <c r="H36" s="419">
        <f t="shared" ref="H36:H39" si="10">G36*$G$5</f>
        <v>0.1</v>
      </c>
      <c r="I36" s="420">
        <f t="shared" ref="I36" si="11">G36+H36</f>
        <v>0.59</v>
      </c>
      <c r="J36" s="747">
        <f t="shared" ref="J36" si="12">I36*F36</f>
        <v>31.4</v>
      </c>
      <c r="L36" s="273"/>
      <c r="M36" s="273"/>
    </row>
    <row r="37" spans="1:14" ht="25.5" x14ac:dyDescent="0.25">
      <c r="A37" s="50" t="s">
        <v>67</v>
      </c>
      <c r="B37" s="18">
        <v>100577</v>
      </c>
      <c r="C37" s="18" t="s">
        <v>37</v>
      </c>
      <c r="D37" s="38" t="s">
        <v>38</v>
      </c>
      <c r="E37" s="40" t="s">
        <v>30</v>
      </c>
      <c r="F37" s="504">
        <f>MC!N67</f>
        <v>340.22</v>
      </c>
      <c r="G37" s="50">
        <v>0.8</v>
      </c>
      <c r="H37" s="419">
        <f t="shared" si="10"/>
        <v>0.17</v>
      </c>
      <c r="I37" s="420">
        <f t="shared" ref="I37:I39" si="13">G37+H37</f>
        <v>0.97</v>
      </c>
      <c r="J37" s="747">
        <f t="shared" ref="J37:J39" si="14">I37*F37</f>
        <v>330.01</v>
      </c>
      <c r="K37" s="108"/>
      <c r="L37" s="273"/>
      <c r="M37" s="273"/>
    </row>
    <row r="38" spans="1:14" ht="38.25" x14ac:dyDescent="0.25">
      <c r="A38" s="18" t="s">
        <v>68</v>
      </c>
      <c r="B38" s="818" t="s">
        <v>748</v>
      </c>
      <c r="C38" s="819"/>
      <c r="D38" s="11" t="s">
        <v>44</v>
      </c>
      <c r="E38" s="18" t="s">
        <v>30</v>
      </c>
      <c r="F38" s="489">
        <f>MC!N70</f>
        <v>340.22</v>
      </c>
      <c r="G38" s="302">
        <f>COMPOSIÇÕES!J82</f>
        <v>68.89</v>
      </c>
      <c r="H38" s="419">
        <f t="shared" si="10"/>
        <v>14.71</v>
      </c>
      <c r="I38" s="420">
        <f t="shared" si="13"/>
        <v>83.6</v>
      </c>
      <c r="J38" s="749">
        <f t="shared" si="14"/>
        <v>28442.400000000001</v>
      </c>
      <c r="K38" s="108"/>
      <c r="L38" s="273"/>
      <c r="M38" s="273"/>
      <c r="N38" s="108"/>
    </row>
    <row r="39" spans="1:14" ht="63.75" x14ac:dyDescent="0.25">
      <c r="A39" s="50" t="s">
        <v>69</v>
      </c>
      <c r="B39" s="50">
        <v>94273</v>
      </c>
      <c r="C39" s="50" t="s">
        <v>10</v>
      </c>
      <c r="D39" s="39" t="s">
        <v>49</v>
      </c>
      <c r="E39" s="50" t="s">
        <v>42</v>
      </c>
      <c r="F39" s="491">
        <f>MC!N73</f>
        <v>111.72</v>
      </c>
      <c r="G39" s="61">
        <v>50.89</v>
      </c>
      <c r="H39" s="419">
        <f t="shared" si="10"/>
        <v>10.87</v>
      </c>
      <c r="I39" s="420">
        <f t="shared" si="13"/>
        <v>61.76</v>
      </c>
      <c r="J39" s="421">
        <f t="shared" si="14"/>
        <v>6899.83</v>
      </c>
      <c r="L39" s="273"/>
      <c r="M39" s="273"/>
    </row>
    <row r="40" spans="1:14" x14ac:dyDescent="0.25">
      <c r="A40" s="36"/>
      <c r="B40" s="36"/>
      <c r="C40" s="36"/>
      <c r="D40" s="36"/>
      <c r="E40" s="36"/>
      <c r="F40" s="491"/>
      <c r="G40" s="50"/>
      <c r="H40" s="36"/>
      <c r="I40" s="36"/>
      <c r="J40" s="36"/>
      <c r="L40" s="273"/>
      <c r="M40" s="273"/>
    </row>
    <row r="41" spans="1:14" x14ac:dyDescent="0.25">
      <c r="A41" s="37" t="s">
        <v>71</v>
      </c>
      <c r="B41" s="801" t="s">
        <v>158</v>
      </c>
      <c r="C41" s="802"/>
      <c r="D41" s="802"/>
      <c r="E41" s="802"/>
      <c r="F41" s="802"/>
      <c r="G41" s="802"/>
      <c r="H41" s="802"/>
      <c r="I41" s="803"/>
      <c r="J41" s="254">
        <f>SUM(J42:J52)</f>
        <v>54586.65</v>
      </c>
      <c r="L41" s="273"/>
      <c r="M41" s="273"/>
    </row>
    <row r="42" spans="1:14" x14ac:dyDescent="0.25">
      <c r="A42" s="44" t="s">
        <v>72</v>
      </c>
      <c r="B42" s="45"/>
      <c r="C42" s="45"/>
      <c r="D42" s="45" t="s">
        <v>33</v>
      </c>
      <c r="E42" s="36"/>
      <c r="F42" s="494"/>
      <c r="G42" s="50"/>
      <c r="H42" s="36"/>
      <c r="I42" s="36"/>
      <c r="J42" s="36"/>
      <c r="L42" s="273"/>
      <c r="M42" s="273"/>
    </row>
    <row r="43" spans="1:14" ht="25.5" x14ac:dyDescent="0.25">
      <c r="A43" s="50" t="s">
        <v>73</v>
      </c>
      <c r="B43" s="18">
        <v>101114</v>
      </c>
      <c r="C43" s="18" t="s">
        <v>10</v>
      </c>
      <c r="D43" s="48" t="s">
        <v>270</v>
      </c>
      <c r="E43" s="18" t="s">
        <v>34</v>
      </c>
      <c r="F43" s="491">
        <f>MC!N78</f>
        <v>47.24</v>
      </c>
      <c r="G43" s="50">
        <v>2.94</v>
      </c>
      <c r="H43" s="419">
        <f t="shared" ref="H43:H51" si="15">G43*$G$5</f>
        <v>0.63</v>
      </c>
      <c r="I43" s="420">
        <f t="shared" ref="I43" si="16">G43+H43</f>
        <v>3.57</v>
      </c>
      <c r="J43" s="747">
        <f t="shared" ref="J43" si="17">I43*F43</f>
        <v>168.65</v>
      </c>
      <c r="L43" s="273"/>
      <c r="M43" s="273"/>
    </row>
    <row r="44" spans="1:14" ht="51" x14ac:dyDescent="0.25">
      <c r="A44" s="50" t="s">
        <v>74</v>
      </c>
      <c r="B44" s="50">
        <v>100973</v>
      </c>
      <c r="C44" s="50" t="s">
        <v>10</v>
      </c>
      <c r="D44" s="41" t="s">
        <v>45</v>
      </c>
      <c r="E44" s="50" t="s">
        <v>34</v>
      </c>
      <c r="F44" s="491">
        <f>MC!N81</f>
        <v>59.05</v>
      </c>
      <c r="G44" s="50">
        <v>6.43</v>
      </c>
      <c r="H44" s="419">
        <f t="shared" si="15"/>
        <v>1.37</v>
      </c>
      <c r="I44" s="420">
        <f t="shared" ref="I44:I51" si="18">G44+H44</f>
        <v>7.8</v>
      </c>
      <c r="J44" s="747">
        <f t="shared" ref="J44:J51" si="19">I44*F44</f>
        <v>460.59</v>
      </c>
      <c r="L44" s="273"/>
      <c r="M44" s="273"/>
    </row>
    <row r="45" spans="1:14" ht="38.25" x14ac:dyDescent="0.25">
      <c r="A45" s="50" t="s">
        <v>75</v>
      </c>
      <c r="B45" s="18">
        <v>95875</v>
      </c>
      <c r="C45" s="18" t="s">
        <v>10</v>
      </c>
      <c r="D45" s="49" t="s">
        <v>35</v>
      </c>
      <c r="E45" s="18" t="s">
        <v>36</v>
      </c>
      <c r="F45" s="491">
        <f>MC!N84</f>
        <v>295.25</v>
      </c>
      <c r="G45" s="50">
        <v>1.75</v>
      </c>
      <c r="H45" s="419">
        <f t="shared" si="15"/>
        <v>0.37</v>
      </c>
      <c r="I45" s="420">
        <f t="shared" si="18"/>
        <v>2.12</v>
      </c>
      <c r="J45" s="747">
        <f t="shared" si="19"/>
        <v>625.92999999999995</v>
      </c>
      <c r="L45" s="273"/>
      <c r="M45" s="273"/>
    </row>
    <row r="46" spans="1:14" x14ac:dyDescent="0.25">
      <c r="A46" s="36"/>
      <c r="B46" s="36"/>
      <c r="C46" s="36"/>
      <c r="D46" s="36"/>
      <c r="E46" s="36"/>
      <c r="F46" s="494"/>
      <c r="G46" s="50"/>
      <c r="H46" s="419">
        <f t="shared" si="15"/>
        <v>0</v>
      </c>
      <c r="I46" s="420">
        <f t="shared" si="18"/>
        <v>0</v>
      </c>
      <c r="J46" s="421">
        <f t="shared" si="19"/>
        <v>0</v>
      </c>
      <c r="L46" s="273"/>
      <c r="M46" s="273"/>
    </row>
    <row r="47" spans="1:14" x14ac:dyDescent="0.25">
      <c r="A47" s="44" t="s">
        <v>76</v>
      </c>
      <c r="B47" s="45"/>
      <c r="C47" s="45"/>
      <c r="D47" s="45" t="s">
        <v>40</v>
      </c>
      <c r="E47" s="36"/>
      <c r="F47" s="494"/>
      <c r="G47" s="50"/>
      <c r="H47" s="419">
        <f t="shared" si="15"/>
        <v>0</v>
      </c>
      <c r="I47" s="420">
        <f t="shared" si="18"/>
        <v>0</v>
      </c>
      <c r="J47" s="421">
        <f t="shared" si="19"/>
        <v>0</v>
      </c>
      <c r="L47" s="273"/>
      <c r="M47" s="273"/>
    </row>
    <row r="48" spans="1:14" x14ac:dyDescent="0.25">
      <c r="A48" s="50" t="s">
        <v>77</v>
      </c>
      <c r="B48" s="9">
        <v>99064</v>
      </c>
      <c r="C48" s="10" t="s">
        <v>10</v>
      </c>
      <c r="D48" s="41" t="s">
        <v>41</v>
      </c>
      <c r="E48" s="46" t="s">
        <v>42</v>
      </c>
      <c r="F48" s="491">
        <f>MC!N88</f>
        <v>67.48</v>
      </c>
      <c r="G48" s="50">
        <v>0.49</v>
      </c>
      <c r="H48" s="419">
        <f t="shared" si="15"/>
        <v>0.1</v>
      </c>
      <c r="I48" s="420">
        <f t="shared" si="18"/>
        <v>0.59</v>
      </c>
      <c r="J48" s="747">
        <f t="shared" si="19"/>
        <v>39.81</v>
      </c>
      <c r="L48" s="273"/>
      <c r="M48" s="273"/>
    </row>
    <row r="49" spans="1:14" ht="25.5" x14ac:dyDescent="0.25">
      <c r="A49" s="50" t="s">
        <v>78</v>
      </c>
      <c r="B49" s="18">
        <v>100577</v>
      </c>
      <c r="C49" s="18" t="s">
        <v>37</v>
      </c>
      <c r="D49" s="38" t="s">
        <v>38</v>
      </c>
      <c r="E49" s="40" t="s">
        <v>30</v>
      </c>
      <c r="F49" s="50">
        <f>MC!N91</f>
        <v>522.41</v>
      </c>
      <c r="G49" s="50">
        <v>0.8</v>
      </c>
      <c r="H49" s="419">
        <f t="shared" si="15"/>
        <v>0.17</v>
      </c>
      <c r="I49" s="420">
        <f t="shared" si="18"/>
        <v>0.97</v>
      </c>
      <c r="J49" s="747">
        <f t="shared" si="19"/>
        <v>506.74</v>
      </c>
      <c r="K49" s="108"/>
      <c r="L49" s="273"/>
      <c r="M49" s="273"/>
    </row>
    <row r="50" spans="1:14" ht="38.25" x14ac:dyDescent="0.25">
      <c r="A50" s="18" t="s">
        <v>79</v>
      </c>
      <c r="B50" s="818" t="s">
        <v>748</v>
      </c>
      <c r="C50" s="819"/>
      <c r="D50" s="11" t="s">
        <v>44</v>
      </c>
      <c r="E50" s="18" t="s">
        <v>30</v>
      </c>
      <c r="F50" s="489">
        <f>MC!N94</f>
        <v>522.41</v>
      </c>
      <c r="G50" s="302">
        <f>COMPOSIÇÕES!J82</f>
        <v>68.89</v>
      </c>
      <c r="H50" s="419">
        <f t="shared" si="15"/>
        <v>14.71</v>
      </c>
      <c r="I50" s="420">
        <f t="shared" si="18"/>
        <v>83.6</v>
      </c>
      <c r="J50" s="747">
        <f t="shared" si="19"/>
        <v>43673.48</v>
      </c>
      <c r="K50" s="108"/>
      <c r="L50" s="273"/>
      <c r="M50" s="273"/>
      <c r="N50" s="108"/>
    </row>
    <row r="51" spans="1:14" ht="63.75" x14ac:dyDescent="0.25">
      <c r="A51" s="50" t="s">
        <v>80</v>
      </c>
      <c r="B51" s="50">
        <v>94273</v>
      </c>
      <c r="C51" s="50" t="s">
        <v>10</v>
      </c>
      <c r="D51" s="39" t="s">
        <v>49</v>
      </c>
      <c r="E51" s="50" t="s">
        <v>42</v>
      </c>
      <c r="F51" s="491">
        <f>MC!N97</f>
        <v>147.53</v>
      </c>
      <c r="G51" s="61">
        <v>50.89</v>
      </c>
      <c r="H51" s="419">
        <f t="shared" si="15"/>
        <v>10.87</v>
      </c>
      <c r="I51" s="420">
        <f t="shared" si="18"/>
        <v>61.76</v>
      </c>
      <c r="J51" s="747">
        <f t="shared" si="19"/>
        <v>9111.4500000000007</v>
      </c>
      <c r="L51" s="273"/>
      <c r="M51" s="273"/>
    </row>
    <row r="52" spans="1:14" x14ac:dyDescent="0.25">
      <c r="A52" s="36"/>
      <c r="B52" s="36"/>
      <c r="C52" s="36"/>
      <c r="D52" s="36"/>
      <c r="E52" s="36"/>
      <c r="F52" s="494"/>
      <c r="G52" s="50"/>
      <c r="H52" s="36"/>
      <c r="I52" s="36"/>
      <c r="J52" s="36"/>
      <c r="L52" s="273"/>
      <c r="M52" s="273"/>
    </row>
    <row r="53" spans="1:14" x14ac:dyDescent="0.25">
      <c r="A53" s="37" t="s">
        <v>82</v>
      </c>
      <c r="B53" s="801" t="s">
        <v>328</v>
      </c>
      <c r="C53" s="802"/>
      <c r="D53" s="802"/>
      <c r="E53" s="802"/>
      <c r="F53" s="802"/>
      <c r="G53" s="802"/>
      <c r="H53" s="802"/>
      <c r="I53" s="803"/>
      <c r="J53" s="254">
        <f>SUM(J54:J64)</f>
        <v>42683.96</v>
      </c>
      <c r="L53" s="273"/>
      <c r="M53" s="273"/>
    </row>
    <row r="54" spans="1:14" x14ac:dyDescent="0.25">
      <c r="A54" s="44" t="s">
        <v>83</v>
      </c>
      <c r="B54" s="45"/>
      <c r="C54" s="45"/>
      <c r="D54" s="45" t="s">
        <v>33</v>
      </c>
      <c r="E54" s="36"/>
      <c r="F54" s="494"/>
      <c r="G54" s="50"/>
      <c r="H54" s="36"/>
      <c r="I54" s="36"/>
      <c r="J54" s="36"/>
      <c r="L54" s="273"/>
      <c r="M54" s="273"/>
    </row>
    <row r="55" spans="1:14" ht="25.5" x14ac:dyDescent="0.25">
      <c r="A55" s="50" t="s">
        <v>84</v>
      </c>
      <c r="B55" s="18">
        <v>101114</v>
      </c>
      <c r="C55" s="18" t="s">
        <v>10</v>
      </c>
      <c r="D55" s="48" t="s">
        <v>270</v>
      </c>
      <c r="E55" s="18" t="s">
        <v>34</v>
      </c>
      <c r="F55" s="495">
        <f>MC!N102</f>
        <v>34.94</v>
      </c>
      <c r="G55" s="50">
        <v>2.94</v>
      </c>
      <c r="H55" s="419">
        <f t="shared" ref="H55:H57" si="20">G55*$G$5</f>
        <v>0.63</v>
      </c>
      <c r="I55" s="420">
        <f t="shared" ref="I55" si="21">G55+H55</f>
        <v>3.57</v>
      </c>
      <c r="J55" s="747">
        <f t="shared" ref="J55" si="22">I55*F55</f>
        <v>124.74</v>
      </c>
      <c r="L55" s="273"/>
      <c r="M55" s="273"/>
    </row>
    <row r="56" spans="1:14" ht="51" x14ac:dyDescent="0.25">
      <c r="A56" s="50" t="s">
        <v>85</v>
      </c>
      <c r="B56" s="50">
        <v>100973</v>
      </c>
      <c r="C56" s="50" t="s">
        <v>10</v>
      </c>
      <c r="D56" s="41" t="s">
        <v>45</v>
      </c>
      <c r="E56" s="50" t="s">
        <v>34</v>
      </c>
      <c r="F56" s="495">
        <f>MC!N105</f>
        <v>43.68</v>
      </c>
      <c r="G56" s="50">
        <v>6.43</v>
      </c>
      <c r="H56" s="419">
        <f t="shared" si="20"/>
        <v>1.37</v>
      </c>
      <c r="I56" s="420">
        <f t="shared" ref="I56:I57" si="23">G56+H56</f>
        <v>7.8</v>
      </c>
      <c r="J56" s="747">
        <f t="shared" ref="J56:J57" si="24">I56*F56</f>
        <v>340.7</v>
      </c>
      <c r="L56" s="273"/>
      <c r="M56" s="273"/>
    </row>
    <row r="57" spans="1:14" ht="38.25" x14ac:dyDescent="0.25">
      <c r="A57" s="50" t="s">
        <v>86</v>
      </c>
      <c r="B57" s="18">
        <v>95875</v>
      </c>
      <c r="C57" s="18" t="s">
        <v>10</v>
      </c>
      <c r="D57" s="49" t="s">
        <v>35</v>
      </c>
      <c r="E57" s="18" t="s">
        <v>36</v>
      </c>
      <c r="F57" s="495">
        <f>MC!N108</f>
        <v>218.4</v>
      </c>
      <c r="G57" s="50">
        <v>1.75</v>
      </c>
      <c r="H57" s="419">
        <f t="shared" si="20"/>
        <v>0.37</v>
      </c>
      <c r="I57" s="420">
        <f t="shared" si="23"/>
        <v>2.12</v>
      </c>
      <c r="J57" s="747">
        <f t="shared" si="24"/>
        <v>463.01</v>
      </c>
      <c r="L57" s="273"/>
      <c r="M57" s="273"/>
    </row>
    <row r="58" spans="1:14" x14ac:dyDescent="0.25">
      <c r="A58" s="36"/>
      <c r="B58" s="36"/>
      <c r="C58" s="36"/>
      <c r="D58" s="36"/>
      <c r="E58" s="36"/>
      <c r="F58" s="494"/>
      <c r="G58" s="50"/>
      <c r="H58" s="36"/>
      <c r="I58" s="36"/>
      <c r="J58" s="36"/>
      <c r="L58" s="273"/>
      <c r="M58" s="273"/>
    </row>
    <row r="59" spans="1:14" x14ac:dyDescent="0.25">
      <c r="A59" s="44" t="s">
        <v>87</v>
      </c>
      <c r="B59" s="45"/>
      <c r="C59" s="45"/>
      <c r="D59" s="45" t="s">
        <v>40</v>
      </c>
      <c r="E59" s="36"/>
      <c r="F59" s="494"/>
      <c r="G59" s="50"/>
      <c r="H59" s="36"/>
      <c r="I59" s="36"/>
      <c r="J59" s="36"/>
      <c r="L59" s="273"/>
      <c r="M59" s="273"/>
    </row>
    <row r="60" spans="1:14" x14ac:dyDescent="0.25">
      <c r="A60" s="50" t="s">
        <v>88</v>
      </c>
      <c r="B60" s="9">
        <v>99064</v>
      </c>
      <c r="C60" s="10" t="s">
        <v>10</v>
      </c>
      <c r="D60" s="41" t="s">
        <v>41</v>
      </c>
      <c r="E60" s="46" t="s">
        <v>42</v>
      </c>
      <c r="F60" s="495">
        <f>MC!N112</f>
        <v>87.34</v>
      </c>
      <c r="G60" s="50">
        <v>0.49</v>
      </c>
      <c r="H60" s="419">
        <f t="shared" ref="H60:H63" si="25">G60*$G$5</f>
        <v>0.1</v>
      </c>
      <c r="I60" s="420">
        <f t="shared" ref="I60" si="26">G60+H60</f>
        <v>0.59</v>
      </c>
      <c r="J60" s="747">
        <f t="shared" ref="J60" si="27">I60*F60</f>
        <v>51.53</v>
      </c>
      <c r="L60" s="273"/>
      <c r="M60" s="273"/>
    </row>
    <row r="61" spans="1:14" ht="25.5" x14ac:dyDescent="0.25">
      <c r="A61" s="50" t="s">
        <v>89</v>
      </c>
      <c r="B61" s="18">
        <v>100577</v>
      </c>
      <c r="C61" s="18" t="s">
        <v>37</v>
      </c>
      <c r="D61" s="38" t="s">
        <v>38</v>
      </c>
      <c r="E61" s="40" t="s">
        <v>30</v>
      </c>
      <c r="F61" s="495">
        <f>MC!N114</f>
        <v>358.1</v>
      </c>
      <c r="G61" s="50">
        <v>0.8</v>
      </c>
      <c r="H61" s="419">
        <f t="shared" si="25"/>
        <v>0.17</v>
      </c>
      <c r="I61" s="420">
        <f t="shared" ref="I61:I63" si="28">G61+H61</f>
        <v>0.97</v>
      </c>
      <c r="J61" s="749">
        <f t="shared" ref="J61:J63" si="29">I61*F61</f>
        <v>347.4</v>
      </c>
      <c r="K61" s="108"/>
      <c r="L61" s="273"/>
      <c r="M61" s="273"/>
    </row>
    <row r="62" spans="1:14" ht="38.25" x14ac:dyDescent="0.25">
      <c r="A62" s="50" t="s">
        <v>90</v>
      </c>
      <c r="B62" s="775" t="s">
        <v>748</v>
      </c>
      <c r="C62" s="776"/>
      <c r="D62" s="41" t="s">
        <v>44</v>
      </c>
      <c r="E62" s="9" t="s">
        <v>30</v>
      </c>
      <c r="F62" s="495">
        <f>MC!N117</f>
        <v>358.1</v>
      </c>
      <c r="G62" s="302">
        <f>COMPOSIÇÕES!J82</f>
        <v>68.89</v>
      </c>
      <c r="H62" s="419">
        <f t="shared" si="25"/>
        <v>14.71</v>
      </c>
      <c r="I62" s="420">
        <f t="shared" si="28"/>
        <v>83.6</v>
      </c>
      <c r="J62" s="747">
        <f t="shared" si="29"/>
        <v>29937.16</v>
      </c>
      <c r="K62" s="108"/>
      <c r="L62" s="273"/>
      <c r="M62" s="273"/>
      <c r="N62" s="108"/>
    </row>
    <row r="63" spans="1:14" ht="63.75" x14ac:dyDescent="0.25">
      <c r="A63" s="50" t="s">
        <v>91</v>
      </c>
      <c r="B63" s="50">
        <v>94273</v>
      </c>
      <c r="C63" s="50" t="s">
        <v>10</v>
      </c>
      <c r="D63" s="39" t="s">
        <v>49</v>
      </c>
      <c r="E63" s="50" t="s">
        <v>42</v>
      </c>
      <c r="F63" s="495">
        <f>MC!N120</f>
        <v>184.9</v>
      </c>
      <c r="G63" s="61">
        <v>50.89</v>
      </c>
      <c r="H63" s="419">
        <f t="shared" si="25"/>
        <v>10.87</v>
      </c>
      <c r="I63" s="420">
        <f t="shared" si="28"/>
        <v>61.76</v>
      </c>
      <c r="J63" s="421">
        <f t="shared" si="29"/>
        <v>11419.42</v>
      </c>
      <c r="L63" s="273"/>
      <c r="M63" s="273"/>
    </row>
    <row r="64" spans="1:14" x14ac:dyDescent="0.25">
      <c r="A64" s="36"/>
      <c r="B64" s="36"/>
      <c r="C64" s="36"/>
      <c r="D64" s="36"/>
      <c r="E64" s="36"/>
      <c r="F64" s="494"/>
      <c r="G64" s="50"/>
      <c r="H64" s="36"/>
      <c r="I64" s="36"/>
      <c r="J64" s="36"/>
      <c r="L64" s="273"/>
      <c r="M64" s="273"/>
    </row>
    <row r="65" spans="1:14" x14ac:dyDescent="0.25">
      <c r="A65" s="37" t="s">
        <v>93</v>
      </c>
      <c r="B65" s="801" t="s">
        <v>448</v>
      </c>
      <c r="C65" s="802"/>
      <c r="D65" s="802"/>
      <c r="E65" s="802"/>
      <c r="F65" s="802"/>
      <c r="G65" s="802"/>
      <c r="H65" s="802"/>
      <c r="I65" s="803"/>
      <c r="J65" s="254">
        <f>SUM(J66:J76)</f>
        <v>91021.81</v>
      </c>
      <c r="L65" s="273"/>
      <c r="M65" s="273"/>
    </row>
    <row r="66" spans="1:14" x14ac:dyDescent="0.25">
      <c r="A66" s="44" t="s">
        <v>94</v>
      </c>
      <c r="B66" s="45"/>
      <c r="C66" s="45"/>
      <c r="D66" s="45" t="s">
        <v>33</v>
      </c>
      <c r="E66" s="36"/>
      <c r="F66" s="494"/>
      <c r="G66" s="50"/>
      <c r="H66" s="36"/>
      <c r="I66" s="36"/>
      <c r="J66" s="36"/>
      <c r="L66" s="273"/>
      <c r="M66" s="273"/>
    </row>
    <row r="67" spans="1:14" ht="25.5" x14ac:dyDescent="0.25">
      <c r="A67" s="50" t="s">
        <v>95</v>
      </c>
      <c r="B67" s="18">
        <v>101114</v>
      </c>
      <c r="C67" s="18" t="s">
        <v>10</v>
      </c>
      <c r="D67" s="48" t="s">
        <v>270</v>
      </c>
      <c r="E67" s="18" t="s">
        <v>34</v>
      </c>
      <c r="F67" s="495">
        <f>MC!N125</f>
        <v>88.87</v>
      </c>
      <c r="G67" s="50">
        <v>2.94</v>
      </c>
      <c r="H67" s="419">
        <f t="shared" ref="H67:H69" si="30">G67*$G$5</f>
        <v>0.63</v>
      </c>
      <c r="I67" s="420">
        <f t="shared" ref="I67" si="31">G67+H67</f>
        <v>3.57</v>
      </c>
      <c r="J67" s="421">
        <f t="shared" ref="J67" si="32">I67*F67</f>
        <v>317.27</v>
      </c>
      <c r="L67" s="273"/>
      <c r="M67" s="273"/>
    </row>
    <row r="68" spans="1:14" ht="51" x14ac:dyDescent="0.25">
      <c r="A68" s="50" t="s">
        <v>96</v>
      </c>
      <c r="B68" s="50">
        <v>100973</v>
      </c>
      <c r="C68" s="50" t="s">
        <v>10</v>
      </c>
      <c r="D68" s="41" t="s">
        <v>45</v>
      </c>
      <c r="E68" s="50" t="s">
        <v>34</v>
      </c>
      <c r="F68" s="495">
        <f>MC!N128</f>
        <v>111.09</v>
      </c>
      <c r="G68" s="50">
        <v>6.43</v>
      </c>
      <c r="H68" s="419">
        <f t="shared" si="30"/>
        <v>1.37</v>
      </c>
      <c r="I68" s="420">
        <f t="shared" ref="I68:I69" si="33">G68+H68</f>
        <v>7.8</v>
      </c>
      <c r="J68" s="421">
        <f t="shared" ref="J68:J69" si="34">I68*F68</f>
        <v>866.5</v>
      </c>
      <c r="L68" s="273"/>
      <c r="M68" s="273"/>
    </row>
    <row r="69" spans="1:14" ht="38.25" x14ac:dyDescent="0.25">
      <c r="A69" s="50" t="s">
        <v>97</v>
      </c>
      <c r="B69" s="18">
        <v>95875</v>
      </c>
      <c r="C69" s="18" t="s">
        <v>10</v>
      </c>
      <c r="D69" s="49" t="s">
        <v>35</v>
      </c>
      <c r="E69" s="18" t="s">
        <v>36</v>
      </c>
      <c r="F69" s="495">
        <f>MC!N131</f>
        <v>555.45000000000005</v>
      </c>
      <c r="G69" s="50">
        <v>1.75</v>
      </c>
      <c r="H69" s="419">
        <f t="shared" si="30"/>
        <v>0.37</v>
      </c>
      <c r="I69" s="420">
        <f t="shared" si="33"/>
        <v>2.12</v>
      </c>
      <c r="J69" s="421">
        <f t="shared" si="34"/>
        <v>1177.55</v>
      </c>
      <c r="L69" s="273"/>
      <c r="M69" s="273"/>
    </row>
    <row r="70" spans="1:14" x14ac:dyDescent="0.25">
      <c r="A70" s="36"/>
      <c r="B70" s="36"/>
      <c r="C70" s="36"/>
      <c r="D70" s="36"/>
      <c r="E70" s="36"/>
      <c r="F70" s="495"/>
      <c r="G70" s="50"/>
      <c r="H70" s="36"/>
      <c r="I70" s="36"/>
      <c r="J70" s="36"/>
      <c r="L70" s="273"/>
      <c r="M70" s="273"/>
    </row>
    <row r="71" spans="1:14" x14ac:dyDescent="0.25">
      <c r="A71" s="44" t="s">
        <v>98</v>
      </c>
      <c r="B71" s="45"/>
      <c r="C71" s="45"/>
      <c r="D71" s="45" t="s">
        <v>40</v>
      </c>
      <c r="E71" s="36"/>
      <c r="F71" s="495"/>
      <c r="G71" s="50"/>
      <c r="H71" s="36"/>
      <c r="I71" s="36"/>
      <c r="J71" s="36"/>
      <c r="L71" s="273"/>
      <c r="M71" s="273"/>
    </row>
    <row r="72" spans="1:14" x14ac:dyDescent="0.25">
      <c r="A72" s="50" t="s">
        <v>99</v>
      </c>
      <c r="B72" s="9">
        <v>99064</v>
      </c>
      <c r="C72" s="10" t="s">
        <v>10</v>
      </c>
      <c r="D72" s="41" t="s">
        <v>41</v>
      </c>
      <c r="E72" s="46" t="s">
        <v>42</v>
      </c>
      <c r="F72" s="495">
        <f>MC!N135</f>
        <v>126.95</v>
      </c>
      <c r="G72" s="50">
        <v>0.49</v>
      </c>
      <c r="H72" s="419">
        <f t="shared" ref="H72:H75" si="35">G72*$G$5</f>
        <v>0.1</v>
      </c>
      <c r="I72" s="420">
        <f t="shared" ref="I72" si="36">G72+H72</f>
        <v>0.59</v>
      </c>
      <c r="J72" s="421">
        <f t="shared" ref="J72" si="37">I72*F72</f>
        <v>74.900000000000006</v>
      </c>
      <c r="L72" s="273"/>
      <c r="M72" s="273"/>
    </row>
    <row r="73" spans="1:14" ht="25.5" x14ac:dyDescent="0.25">
      <c r="A73" s="50" t="s">
        <v>100</v>
      </c>
      <c r="B73" s="18">
        <v>100577</v>
      </c>
      <c r="C73" s="18" t="s">
        <v>37</v>
      </c>
      <c r="D73" s="38" t="s">
        <v>38</v>
      </c>
      <c r="E73" s="40" t="s">
        <v>30</v>
      </c>
      <c r="F73" s="495">
        <f>MC!N137</f>
        <v>873.31</v>
      </c>
      <c r="G73" s="50">
        <v>0.8</v>
      </c>
      <c r="H73" s="419">
        <f t="shared" si="35"/>
        <v>0.17</v>
      </c>
      <c r="I73" s="420">
        <f t="shared" ref="I73:I75" si="38">G73+H73</f>
        <v>0.97</v>
      </c>
      <c r="J73" s="421">
        <f t="shared" ref="J73:J75" si="39">I73*F73</f>
        <v>847.11</v>
      </c>
      <c r="K73" s="108"/>
      <c r="L73" s="273"/>
      <c r="M73" s="273"/>
    </row>
    <row r="74" spans="1:14" ht="38.25" x14ac:dyDescent="0.25">
      <c r="A74" s="18" t="s">
        <v>101</v>
      </c>
      <c r="B74" s="818" t="s">
        <v>748</v>
      </c>
      <c r="C74" s="819"/>
      <c r="D74" s="11" t="s">
        <v>44</v>
      </c>
      <c r="E74" s="18" t="s">
        <v>30</v>
      </c>
      <c r="F74" s="496">
        <f>MC!N140</f>
        <v>873.31</v>
      </c>
      <c r="G74" s="302">
        <f>COMPOSIÇÕES!J82</f>
        <v>68.89</v>
      </c>
      <c r="H74" s="419">
        <f t="shared" si="35"/>
        <v>14.71</v>
      </c>
      <c r="I74" s="420">
        <f t="shared" si="38"/>
        <v>83.6</v>
      </c>
      <c r="J74" s="421">
        <f t="shared" si="39"/>
        <v>73008.72</v>
      </c>
      <c r="K74" s="108"/>
      <c r="L74" s="273"/>
      <c r="M74" s="273"/>
      <c r="N74" s="108"/>
    </row>
    <row r="75" spans="1:14" ht="63.75" x14ac:dyDescent="0.25">
      <c r="A75" s="50" t="s">
        <v>102</v>
      </c>
      <c r="B75" s="50">
        <v>94273</v>
      </c>
      <c r="C75" s="50" t="s">
        <v>10</v>
      </c>
      <c r="D75" s="39" t="s">
        <v>49</v>
      </c>
      <c r="E75" s="50" t="s">
        <v>42</v>
      </c>
      <c r="F75" s="495">
        <f>MC!N143</f>
        <v>238.5</v>
      </c>
      <c r="G75" s="61">
        <v>50.89</v>
      </c>
      <c r="H75" s="419">
        <f t="shared" si="35"/>
        <v>10.87</v>
      </c>
      <c r="I75" s="420">
        <f t="shared" si="38"/>
        <v>61.76</v>
      </c>
      <c r="J75" s="421">
        <f t="shared" si="39"/>
        <v>14729.76</v>
      </c>
      <c r="L75" s="273"/>
      <c r="M75" s="273"/>
    </row>
    <row r="76" spans="1:14" x14ac:dyDescent="0.25">
      <c r="A76" s="36"/>
      <c r="B76" s="36"/>
      <c r="C76" s="36"/>
      <c r="D76" s="36"/>
      <c r="E76" s="36"/>
      <c r="F76" s="495"/>
      <c r="G76" s="50"/>
      <c r="H76" s="36"/>
      <c r="I76" s="36"/>
      <c r="J76" s="36"/>
      <c r="L76" s="273"/>
      <c r="M76" s="273"/>
    </row>
    <row r="77" spans="1:14" x14ac:dyDescent="0.25">
      <c r="A77" s="37" t="s">
        <v>103</v>
      </c>
      <c r="B77" s="801" t="s">
        <v>449</v>
      </c>
      <c r="C77" s="802"/>
      <c r="D77" s="802"/>
      <c r="E77" s="802"/>
      <c r="F77" s="802"/>
      <c r="G77" s="802"/>
      <c r="H77" s="802"/>
      <c r="I77" s="803"/>
      <c r="J77" s="253">
        <f>SUM(J79:J102)</f>
        <v>192716.55</v>
      </c>
      <c r="L77" s="273"/>
      <c r="M77" s="273"/>
    </row>
    <row r="78" spans="1:14" ht="18" customHeight="1" x14ac:dyDescent="0.25">
      <c r="A78" s="44" t="s">
        <v>104</v>
      </c>
      <c r="B78" s="45"/>
      <c r="C78" s="45"/>
      <c r="D78" s="45" t="s">
        <v>33</v>
      </c>
      <c r="E78" s="36"/>
      <c r="F78" s="494"/>
      <c r="G78" s="50"/>
      <c r="H78" s="36"/>
      <c r="I78" s="36"/>
      <c r="J78" s="36"/>
      <c r="L78" s="273"/>
      <c r="M78" s="273"/>
    </row>
    <row r="79" spans="1:14" ht="25.5" x14ac:dyDescent="0.25">
      <c r="A79" s="50" t="s">
        <v>105</v>
      </c>
      <c r="B79" s="18">
        <v>101114</v>
      </c>
      <c r="C79" s="18" t="s">
        <v>10</v>
      </c>
      <c r="D79" s="48" t="s">
        <v>270</v>
      </c>
      <c r="E79" s="18" t="s">
        <v>34</v>
      </c>
      <c r="F79" s="495">
        <f>MC!N148</f>
        <v>76.150000000000006</v>
      </c>
      <c r="G79" s="50">
        <v>2.94</v>
      </c>
      <c r="H79" s="419">
        <f t="shared" ref="H79:H81" si="40">G79*$G$5</f>
        <v>0.63</v>
      </c>
      <c r="I79" s="420">
        <f t="shared" ref="I79" si="41">G79+H79</f>
        <v>3.57</v>
      </c>
      <c r="J79" s="421">
        <f t="shared" ref="J79" si="42">I79*F79</f>
        <v>271.86</v>
      </c>
      <c r="L79" s="273"/>
      <c r="M79" s="273"/>
    </row>
    <row r="80" spans="1:14" ht="51" x14ac:dyDescent="0.25">
      <c r="A80" s="50" t="s">
        <v>106</v>
      </c>
      <c r="B80" s="50">
        <v>100973</v>
      </c>
      <c r="C80" s="50" t="s">
        <v>10</v>
      </c>
      <c r="D80" s="41" t="s">
        <v>45</v>
      </c>
      <c r="E80" s="50" t="s">
        <v>34</v>
      </c>
      <c r="F80" s="495">
        <f>MC!N151</f>
        <v>95.19</v>
      </c>
      <c r="G80" s="50">
        <v>6.43</v>
      </c>
      <c r="H80" s="419">
        <f t="shared" si="40"/>
        <v>1.37</v>
      </c>
      <c r="I80" s="420">
        <f t="shared" ref="I80:I81" si="43">G80+H80</f>
        <v>7.8</v>
      </c>
      <c r="J80" s="421">
        <f t="shared" ref="J80:J81" si="44">I80*F80</f>
        <v>742.48</v>
      </c>
      <c r="L80" s="273"/>
      <c r="M80" s="273"/>
    </row>
    <row r="81" spans="1:14" ht="38.25" x14ac:dyDescent="0.25">
      <c r="A81" s="50" t="s">
        <v>107</v>
      </c>
      <c r="B81" s="18">
        <v>95875</v>
      </c>
      <c r="C81" s="18" t="s">
        <v>10</v>
      </c>
      <c r="D81" s="49" t="s">
        <v>35</v>
      </c>
      <c r="E81" s="18" t="s">
        <v>36</v>
      </c>
      <c r="F81" s="495">
        <f>MC!N154</f>
        <v>475.95</v>
      </c>
      <c r="G81" s="50">
        <v>1.75</v>
      </c>
      <c r="H81" s="419">
        <f t="shared" si="40"/>
        <v>0.37</v>
      </c>
      <c r="I81" s="420">
        <f t="shared" si="43"/>
        <v>2.12</v>
      </c>
      <c r="J81" s="421">
        <f t="shared" si="44"/>
        <v>1009.01</v>
      </c>
      <c r="L81" s="273"/>
      <c r="M81" s="273"/>
    </row>
    <row r="82" spans="1:14" x14ac:dyDescent="0.25">
      <c r="A82" s="36"/>
      <c r="B82" s="36"/>
      <c r="C82" s="36"/>
      <c r="D82" s="36"/>
      <c r="E82" s="36"/>
      <c r="F82" s="495"/>
      <c r="G82" s="50"/>
      <c r="H82" s="36"/>
      <c r="I82" s="36"/>
      <c r="J82" s="36"/>
      <c r="L82" s="273"/>
      <c r="M82" s="273"/>
    </row>
    <row r="83" spans="1:14" x14ac:dyDescent="0.25">
      <c r="A83" s="44" t="s">
        <v>108</v>
      </c>
      <c r="B83" s="45"/>
      <c r="C83" s="45"/>
      <c r="D83" s="45" t="s">
        <v>40</v>
      </c>
      <c r="E83" s="36"/>
      <c r="F83" s="495"/>
      <c r="G83" s="50"/>
      <c r="H83" s="36"/>
      <c r="I83" s="36"/>
      <c r="J83" s="36"/>
      <c r="L83" s="273"/>
      <c r="M83" s="273"/>
    </row>
    <row r="84" spans="1:14" x14ac:dyDescent="0.25">
      <c r="A84" s="50" t="s">
        <v>109</v>
      </c>
      <c r="B84" s="9">
        <v>99064</v>
      </c>
      <c r="C84" s="10" t="s">
        <v>10</v>
      </c>
      <c r="D84" s="41" t="s">
        <v>41</v>
      </c>
      <c r="E84" s="46" t="s">
        <v>42</v>
      </c>
      <c r="F84" s="491">
        <f>MC!N158</f>
        <v>126.92</v>
      </c>
      <c r="G84" s="50">
        <v>0.49</v>
      </c>
      <c r="H84" s="419">
        <f t="shared" ref="H84:H87" si="45">G84*$G$5</f>
        <v>0.1</v>
      </c>
      <c r="I84" s="420">
        <f t="shared" ref="I84" si="46">G84+H84</f>
        <v>0.59</v>
      </c>
      <c r="J84" s="421">
        <f t="shared" ref="J84" si="47">I84*F84</f>
        <v>74.88</v>
      </c>
      <c r="L84" s="273"/>
      <c r="M84" s="273"/>
    </row>
    <row r="85" spans="1:14" ht="25.5" x14ac:dyDescent="0.25">
      <c r="A85" s="50" t="s">
        <v>110</v>
      </c>
      <c r="B85" s="18">
        <v>100577</v>
      </c>
      <c r="C85" s="18" t="s">
        <v>37</v>
      </c>
      <c r="D85" s="38" t="s">
        <v>38</v>
      </c>
      <c r="E85" s="40" t="s">
        <v>30</v>
      </c>
      <c r="F85" s="491">
        <f>MC!N161</f>
        <v>1365.36</v>
      </c>
      <c r="G85" s="50">
        <v>0.8</v>
      </c>
      <c r="H85" s="419">
        <f t="shared" si="45"/>
        <v>0.17</v>
      </c>
      <c r="I85" s="420">
        <f t="shared" ref="I85:I87" si="48">G85+H85</f>
        <v>0.97</v>
      </c>
      <c r="J85" s="421">
        <f t="shared" ref="J85:J87" si="49">I85*F85</f>
        <v>1324.4</v>
      </c>
      <c r="K85" s="108"/>
      <c r="L85" s="273"/>
      <c r="M85" s="273"/>
    </row>
    <row r="86" spans="1:14" ht="38.25" x14ac:dyDescent="0.25">
      <c r="A86" s="18" t="s">
        <v>111</v>
      </c>
      <c r="B86" s="818" t="s">
        <v>748</v>
      </c>
      <c r="C86" s="819"/>
      <c r="D86" s="11" t="s">
        <v>44</v>
      </c>
      <c r="E86" s="18" t="s">
        <v>30</v>
      </c>
      <c r="F86" s="489">
        <f>MC!N164</f>
        <v>1365.36</v>
      </c>
      <c r="G86" s="302">
        <f>COMPOSIÇÕES!J82</f>
        <v>68.89</v>
      </c>
      <c r="H86" s="419">
        <f t="shared" si="45"/>
        <v>14.71</v>
      </c>
      <c r="I86" s="420">
        <f t="shared" si="48"/>
        <v>83.6</v>
      </c>
      <c r="J86" s="421">
        <f t="shared" si="49"/>
        <v>114144.1</v>
      </c>
      <c r="K86" s="108"/>
      <c r="L86" s="273"/>
      <c r="M86" s="273"/>
      <c r="N86" s="108"/>
    </row>
    <row r="87" spans="1:14" ht="63.75" x14ac:dyDescent="0.25">
      <c r="A87" s="50" t="s">
        <v>112</v>
      </c>
      <c r="B87" s="50">
        <v>94273</v>
      </c>
      <c r="C87" s="50" t="s">
        <v>10</v>
      </c>
      <c r="D87" s="39" t="s">
        <v>49</v>
      </c>
      <c r="E87" s="50" t="s">
        <v>42</v>
      </c>
      <c r="F87" s="491">
        <f>MC!N167</f>
        <v>434.48</v>
      </c>
      <c r="G87" s="61">
        <v>50.89</v>
      </c>
      <c r="H87" s="419">
        <f t="shared" si="45"/>
        <v>10.87</v>
      </c>
      <c r="I87" s="420">
        <f t="shared" si="48"/>
        <v>61.76</v>
      </c>
      <c r="J87" s="421">
        <f t="shared" si="49"/>
        <v>26833.48</v>
      </c>
      <c r="L87" s="273"/>
      <c r="M87" s="273"/>
    </row>
    <row r="88" spans="1:14" x14ac:dyDescent="0.25">
      <c r="A88" s="50"/>
      <c r="B88" s="50"/>
      <c r="C88" s="50"/>
      <c r="D88" s="39"/>
      <c r="E88" s="50"/>
      <c r="F88" s="491"/>
      <c r="G88" s="61"/>
      <c r="H88" s="13"/>
      <c r="I88" s="14"/>
      <c r="J88" s="15"/>
      <c r="L88" s="273"/>
      <c r="M88" s="273"/>
    </row>
    <row r="89" spans="1:14" x14ac:dyDescent="0.25">
      <c r="A89" s="44" t="s">
        <v>587</v>
      </c>
      <c r="B89" s="45"/>
      <c r="C89" s="45"/>
      <c r="D89" s="45" t="s">
        <v>471</v>
      </c>
      <c r="E89" s="50"/>
      <c r="F89" s="495"/>
      <c r="G89" s="61"/>
      <c r="H89" s="13"/>
      <c r="I89" s="14"/>
      <c r="J89" s="15"/>
      <c r="L89" s="273"/>
      <c r="M89" s="273"/>
    </row>
    <row r="90" spans="1:14" x14ac:dyDescent="0.25">
      <c r="A90" s="9" t="s">
        <v>588</v>
      </c>
      <c r="B90" s="106">
        <v>99063</v>
      </c>
      <c r="C90" s="9" t="s">
        <v>10</v>
      </c>
      <c r="D90" s="349" t="s">
        <v>48</v>
      </c>
      <c r="E90" s="9" t="s">
        <v>42</v>
      </c>
      <c r="F90" s="497">
        <f>MC!N171</f>
        <v>36.65</v>
      </c>
      <c r="G90" s="9">
        <v>4.01</v>
      </c>
      <c r="H90" s="419">
        <f t="shared" ref="H90:H101" si="50">G90*$G$5</f>
        <v>0.86</v>
      </c>
      <c r="I90" s="420">
        <f t="shared" ref="I90" si="51">G90+H90</f>
        <v>4.87</v>
      </c>
      <c r="J90" s="421">
        <f t="shared" ref="J90" si="52">I90*F90</f>
        <v>178.49</v>
      </c>
      <c r="L90" s="273"/>
      <c r="M90" s="273"/>
    </row>
    <row r="91" spans="1:14" ht="64.5" x14ac:dyDescent="0.25">
      <c r="A91" s="9" t="s">
        <v>589</v>
      </c>
      <c r="B91" s="50">
        <v>90082</v>
      </c>
      <c r="C91" s="50" t="s">
        <v>10</v>
      </c>
      <c r="D91" s="47" t="s">
        <v>50</v>
      </c>
      <c r="E91" s="50" t="s">
        <v>34</v>
      </c>
      <c r="F91" s="497">
        <f>MC!N174</f>
        <v>82.46</v>
      </c>
      <c r="G91" s="426">
        <v>7.9</v>
      </c>
      <c r="H91" s="419">
        <f t="shared" si="50"/>
        <v>1.69</v>
      </c>
      <c r="I91" s="420">
        <f t="shared" ref="I91:I101" si="53">G91+H91</f>
        <v>9.59</v>
      </c>
      <c r="J91" s="421">
        <f t="shared" ref="J91:J101" si="54">I91*F91</f>
        <v>790.79</v>
      </c>
      <c r="L91" s="273"/>
      <c r="M91" s="273"/>
    </row>
    <row r="92" spans="1:14" ht="64.5" x14ac:dyDescent="0.25">
      <c r="A92" s="9" t="s">
        <v>590</v>
      </c>
      <c r="B92" s="50">
        <v>90084</v>
      </c>
      <c r="C92" s="50" t="s">
        <v>10</v>
      </c>
      <c r="D92" s="47" t="s">
        <v>51</v>
      </c>
      <c r="E92" s="50" t="s">
        <v>34</v>
      </c>
      <c r="F92" s="491">
        <f>MC!N177</f>
        <v>9.4700000000000006</v>
      </c>
      <c r="G92" s="50">
        <v>7.65</v>
      </c>
      <c r="H92" s="419">
        <f t="shared" si="50"/>
        <v>1.63</v>
      </c>
      <c r="I92" s="420">
        <f t="shared" si="53"/>
        <v>9.2799999999999994</v>
      </c>
      <c r="J92" s="421">
        <f t="shared" si="54"/>
        <v>87.88</v>
      </c>
      <c r="L92" s="273"/>
      <c r="M92" s="273"/>
    </row>
    <row r="93" spans="1:14" ht="51.75" x14ac:dyDescent="0.25">
      <c r="A93" s="9" t="s">
        <v>591</v>
      </c>
      <c r="B93" s="106">
        <v>92210</v>
      </c>
      <c r="C93" s="9" t="s">
        <v>10</v>
      </c>
      <c r="D93" s="342" t="s">
        <v>266</v>
      </c>
      <c r="E93" s="9" t="s">
        <v>42</v>
      </c>
      <c r="F93" s="497">
        <f>MC!N180</f>
        <v>36.65</v>
      </c>
      <c r="G93" s="9">
        <v>107.62</v>
      </c>
      <c r="H93" s="419">
        <f t="shared" si="50"/>
        <v>22.98</v>
      </c>
      <c r="I93" s="420">
        <f t="shared" si="53"/>
        <v>130.6</v>
      </c>
      <c r="J93" s="421">
        <f t="shared" si="54"/>
        <v>4786.49</v>
      </c>
      <c r="L93" s="273"/>
      <c r="M93" s="273"/>
    </row>
    <row r="94" spans="1:14" ht="39" x14ac:dyDescent="0.25">
      <c r="A94" s="9" t="s">
        <v>592</v>
      </c>
      <c r="B94" s="106">
        <v>101620</v>
      </c>
      <c r="C94" s="9" t="s">
        <v>10</v>
      </c>
      <c r="D94" s="342" t="s">
        <v>53</v>
      </c>
      <c r="E94" s="9" t="s">
        <v>34</v>
      </c>
      <c r="F94" s="497">
        <f>MC!N183</f>
        <v>8.25</v>
      </c>
      <c r="G94" s="9">
        <v>155.78</v>
      </c>
      <c r="H94" s="419">
        <f t="shared" si="50"/>
        <v>33.26</v>
      </c>
      <c r="I94" s="420">
        <f t="shared" si="53"/>
        <v>189.04</v>
      </c>
      <c r="J94" s="421">
        <f t="shared" si="54"/>
        <v>1559.58</v>
      </c>
      <c r="L94" s="273"/>
      <c r="M94" s="273"/>
    </row>
    <row r="95" spans="1:14" ht="26.25" x14ac:dyDescent="0.25">
      <c r="A95" s="9" t="s">
        <v>593</v>
      </c>
      <c r="B95" s="106">
        <v>93382</v>
      </c>
      <c r="C95" s="9" t="s">
        <v>10</v>
      </c>
      <c r="D95" s="342" t="s">
        <v>271</v>
      </c>
      <c r="E95" s="9" t="s">
        <v>34</v>
      </c>
      <c r="F95" s="497">
        <f>MC!N186</f>
        <v>76.48</v>
      </c>
      <c r="G95" s="9">
        <v>22.91</v>
      </c>
      <c r="H95" s="419">
        <f t="shared" si="50"/>
        <v>4.8899999999999997</v>
      </c>
      <c r="I95" s="420">
        <f t="shared" si="53"/>
        <v>27.8</v>
      </c>
      <c r="J95" s="421">
        <f t="shared" si="54"/>
        <v>2126.14</v>
      </c>
      <c r="L95" s="273"/>
      <c r="M95" s="273"/>
    </row>
    <row r="96" spans="1:14" ht="51" x14ac:dyDescent="0.25">
      <c r="A96" s="9" t="s">
        <v>594</v>
      </c>
      <c r="B96" s="106">
        <v>100973</v>
      </c>
      <c r="C96" s="9" t="s">
        <v>10</v>
      </c>
      <c r="D96" s="56" t="s">
        <v>45</v>
      </c>
      <c r="E96" s="9" t="s">
        <v>34</v>
      </c>
      <c r="F96" s="497">
        <f>MC!N189</f>
        <v>15.45</v>
      </c>
      <c r="G96" s="426">
        <v>6.43</v>
      </c>
      <c r="H96" s="419">
        <f t="shared" si="50"/>
        <v>1.37</v>
      </c>
      <c r="I96" s="420">
        <f t="shared" si="53"/>
        <v>7.8</v>
      </c>
      <c r="J96" s="421">
        <f t="shared" si="54"/>
        <v>120.51</v>
      </c>
      <c r="L96" s="273"/>
      <c r="M96" s="273"/>
    </row>
    <row r="97" spans="1:14" ht="25.5" x14ac:dyDescent="0.25">
      <c r="A97" s="9" t="s">
        <v>595</v>
      </c>
      <c r="B97" s="106">
        <v>97913</v>
      </c>
      <c r="C97" s="9" t="s">
        <v>10</v>
      </c>
      <c r="D97" s="56" t="s">
        <v>54</v>
      </c>
      <c r="E97" s="9" t="s">
        <v>55</v>
      </c>
      <c r="F97" s="497">
        <f>MC!N192</f>
        <v>96.56</v>
      </c>
      <c r="G97" s="9">
        <v>2.2799999999999998</v>
      </c>
      <c r="H97" s="419">
        <f t="shared" si="50"/>
        <v>0.49</v>
      </c>
      <c r="I97" s="420">
        <f t="shared" si="53"/>
        <v>2.77</v>
      </c>
      <c r="J97" s="421">
        <f t="shared" si="54"/>
        <v>267.47000000000003</v>
      </c>
      <c r="L97" s="273"/>
      <c r="M97" s="273"/>
    </row>
    <row r="98" spans="1:14" ht="38.25" x14ac:dyDescent="0.25">
      <c r="A98" s="9" t="s">
        <v>596</v>
      </c>
      <c r="B98" s="106">
        <v>101572</v>
      </c>
      <c r="C98" s="9" t="s">
        <v>10</v>
      </c>
      <c r="D98" s="104" t="s">
        <v>275</v>
      </c>
      <c r="E98" s="347" t="s">
        <v>30</v>
      </c>
      <c r="F98" s="497">
        <f>MC!N195</f>
        <v>111.58</v>
      </c>
      <c r="G98" s="9">
        <v>13.11</v>
      </c>
      <c r="H98" s="419">
        <f t="shared" si="50"/>
        <v>2.8</v>
      </c>
      <c r="I98" s="420">
        <f t="shared" si="53"/>
        <v>15.91</v>
      </c>
      <c r="J98" s="421">
        <f t="shared" si="54"/>
        <v>1775.24</v>
      </c>
      <c r="L98" s="273"/>
      <c r="M98" s="273"/>
    </row>
    <row r="99" spans="1:14" ht="39" x14ac:dyDescent="0.25">
      <c r="A99" s="9" t="s">
        <v>597</v>
      </c>
      <c r="B99" s="106">
        <v>99241</v>
      </c>
      <c r="C99" s="9" t="s">
        <v>10</v>
      </c>
      <c r="D99" s="342" t="s">
        <v>58</v>
      </c>
      <c r="E99" s="9" t="s">
        <v>42</v>
      </c>
      <c r="F99" s="497">
        <f>MC!N198</f>
        <v>1.8</v>
      </c>
      <c r="G99" s="9">
        <v>1218.05</v>
      </c>
      <c r="H99" s="419">
        <f t="shared" si="50"/>
        <v>260.05</v>
      </c>
      <c r="I99" s="420">
        <f t="shared" si="53"/>
        <v>1478.1</v>
      </c>
      <c r="J99" s="421">
        <f t="shared" si="54"/>
        <v>2660.58</v>
      </c>
      <c r="L99" s="273"/>
      <c r="M99" s="273"/>
    </row>
    <row r="100" spans="1:14" ht="39" x14ac:dyDescent="0.25">
      <c r="A100" s="9" t="s">
        <v>598</v>
      </c>
      <c r="B100" s="106">
        <v>97973</v>
      </c>
      <c r="C100" s="9" t="s">
        <v>10</v>
      </c>
      <c r="D100" s="342" t="s">
        <v>445</v>
      </c>
      <c r="E100" s="9" t="s">
        <v>57</v>
      </c>
      <c r="F100" s="497">
        <f>MC!N201</f>
        <v>8</v>
      </c>
      <c r="G100" s="9">
        <v>3194.57</v>
      </c>
      <c r="H100" s="419">
        <f t="shared" si="50"/>
        <v>682.04</v>
      </c>
      <c r="I100" s="420">
        <f t="shared" si="53"/>
        <v>3876.61</v>
      </c>
      <c r="J100" s="421">
        <f t="shared" si="54"/>
        <v>31012.880000000001</v>
      </c>
      <c r="L100" s="273"/>
      <c r="M100" s="273"/>
    </row>
    <row r="101" spans="1:14" ht="39" x14ac:dyDescent="0.25">
      <c r="A101" s="9" t="s">
        <v>599</v>
      </c>
      <c r="B101" s="828" t="s">
        <v>835</v>
      </c>
      <c r="C101" s="829"/>
      <c r="D101" s="342" t="s">
        <v>274</v>
      </c>
      <c r="E101" s="9" t="s">
        <v>57</v>
      </c>
      <c r="F101" s="497">
        <f>MC!N204</f>
        <v>3</v>
      </c>
      <c r="G101" s="9">
        <f>COMPOSIÇÕES!J92</f>
        <v>810.41</v>
      </c>
      <c r="H101" s="419">
        <f t="shared" si="50"/>
        <v>173.02</v>
      </c>
      <c r="I101" s="420">
        <f t="shared" si="53"/>
        <v>983.43</v>
      </c>
      <c r="J101" s="421">
        <f t="shared" si="54"/>
        <v>2950.29</v>
      </c>
      <c r="L101" s="273"/>
      <c r="M101" s="273"/>
    </row>
    <row r="102" spans="1:14" x14ac:dyDescent="0.25">
      <c r="A102" s="50" t="s">
        <v>282</v>
      </c>
      <c r="B102" s="50"/>
      <c r="C102" s="50"/>
      <c r="D102" s="39"/>
      <c r="E102" s="50"/>
      <c r="F102" s="491"/>
      <c r="G102" s="61"/>
      <c r="H102" s="13"/>
      <c r="I102" s="14"/>
      <c r="J102" s="15"/>
      <c r="L102" s="273"/>
      <c r="M102" s="273"/>
    </row>
    <row r="103" spans="1:14" x14ac:dyDescent="0.25">
      <c r="A103" s="37" t="s">
        <v>113</v>
      </c>
      <c r="B103" s="801" t="s">
        <v>450</v>
      </c>
      <c r="C103" s="802"/>
      <c r="D103" s="802"/>
      <c r="E103" s="802"/>
      <c r="F103" s="802"/>
      <c r="G103" s="802"/>
      <c r="H103" s="802"/>
      <c r="I103" s="803"/>
      <c r="J103" s="254">
        <f>SUM(J104:J114)</f>
        <v>76352.289999999994</v>
      </c>
      <c r="L103" s="273"/>
      <c r="M103" s="273"/>
    </row>
    <row r="104" spans="1:14" x14ac:dyDescent="0.25">
      <c r="A104" s="44" t="s">
        <v>114</v>
      </c>
      <c r="B104" s="45"/>
      <c r="C104" s="45"/>
      <c r="D104" s="45" t="s">
        <v>33</v>
      </c>
      <c r="E104" s="36"/>
      <c r="F104" s="494"/>
      <c r="G104" s="50"/>
      <c r="H104" s="36"/>
      <c r="I104" s="36"/>
      <c r="J104" s="36"/>
      <c r="L104" s="273"/>
      <c r="M104" s="273"/>
    </row>
    <row r="105" spans="1:14" ht="25.5" x14ac:dyDescent="0.25">
      <c r="A105" s="50" t="s">
        <v>115</v>
      </c>
      <c r="B105" s="18">
        <v>101114</v>
      </c>
      <c r="C105" s="18" t="s">
        <v>10</v>
      </c>
      <c r="D105" s="48" t="s">
        <v>270</v>
      </c>
      <c r="E105" s="18" t="s">
        <v>34</v>
      </c>
      <c r="F105" s="495">
        <f>MC!N209</f>
        <v>71.39</v>
      </c>
      <c r="G105" s="50">
        <v>2.94</v>
      </c>
      <c r="H105" s="419">
        <f t="shared" ref="H105:H107" si="55">G105*$G$5</f>
        <v>0.63</v>
      </c>
      <c r="I105" s="420">
        <f t="shared" ref="I105" si="56">G105+H105</f>
        <v>3.57</v>
      </c>
      <c r="J105" s="421">
        <f t="shared" ref="J105" si="57">I105*F105</f>
        <v>254.86</v>
      </c>
      <c r="L105" s="273"/>
      <c r="M105" s="273"/>
    </row>
    <row r="106" spans="1:14" ht="51" x14ac:dyDescent="0.25">
      <c r="A106" s="50" t="s">
        <v>116</v>
      </c>
      <c r="B106" s="50">
        <v>100973</v>
      </c>
      <c r="C106" s="50" t="s">
        <v>10</v>
      </c>
      <c r="D106" s="41" t="s">
        <v>45</v>
      </c>
      <c r="E106" s="50" t="s">
        <v>34</v>
      </c>
      <c r="F106" s="495">
        <f>MC!N212</f>
        <v>89.24</v>
      </c>
      <c r="G106" s="50">
        <v>6.43</v>
      </c>
      <c r="H106" s="419">
        <f t="shared" si="55"/>
        <v>1.37</v>
      </c>
      <c r="I106" s="420">
        <f t="shared" ref="I106:I107" si="58">G106+H106</f>
        <v>7.8</v>
      </c>
      <c r="J106" s="421">
        <f t="shared" ref="J106:J107" si="59">I106*F106</f>
        <v>696.07</v>
      </c>
      <c r="L106" s="273"/>
      <c r="M106" s="273"/>
    </row>
    <row r="107" spans="1:14" ht="38.25" x14ac:dyDescent="0.25">
      <c r="A107" s="50" t="s">
        <v>117</v>
      </c>
      <c r="B107" s="18">
        <v>95875</v>
      </c>
      <c r="C107" s="18" t="s">
        <v>10</v>
      </c>
      <c r="D107" s="49" t="s">
        <v>35</v>
      </c>
      <c r="E107" s="18" t="s">
        <v>36</v>
      </c>
      <c r="F107" s="495">
        <f>MC!N215</f>
        <v>446.2</v>
      </c>
      <c r="G107" s="50">
        <v>1.75</v>
      </c>
      <c r="H107" s="419">
        <f t="shared" si="55"/>
        <v>0.37</v>
      </c>
      <c r="I107" s="420">
        <f t="shared" si="58"/>
        <v>2.12</v>
      </c>
      <c r="J107" s="421">
        <f t="shared" si="59"/>
        <v>945.94</v>
      </c>
      <c r="L107" s="273"/>
      <c r="M107" s="273"/>
    </row>
    <row r="108" spans="1:14" x14ac:dyDescent="0.25">
      <c r="A108" s="36"/>
      <c r="B108" s="36"/>
      <c r="C108" s="36"/>
      <c r="D108" s="36"/>
      <c r="E108" s="36"/>
      <c r="F108" s="495"/>
      <c r="G108" s="50"/>
      <c r="H108" s="36"/>
      <c r="I108" s="36"/>
      <c r="J108" s="36"/>
      <c r="L108" s="273"/>
      <c r="M108" s="273"/>
    </row>
    <row r="109" spans="1:14" x14ac:dyDescent="0.25">
      <c r="A109" s="44" t="s">
        <v>118</v>
      </c>
      <c r="B109" s="45"/>
      <c r="C109" s="45"/>
      <c r="D109" s="45" t="s">
        <v>40</v>
      </c>
      <c r="E109" s="36"/>
      <c r="F109" s="495"/>
      <c r="G109" s="50"/>
      <c r="H109" s="36"/>
      <c r="I109" s="36"/>
      <c r="J109" s="36"/>
      <c r="L109" s="273"/>
      <c r="M109" s="273"/>
    </row>
    <row r="110" spans="1:14" x14ac:dyDescent="0.25">
      <c r="A110" s="50" t="s">
        <v>119</v>
      </c>
      <c r="B110" s="9">
        <v>99064</v>
      </c>
      <c r="C110" s="10" t="s">
        <v>10</v>
      </c>
      <c r="D110" s="41" t="s">
        <v>41</v>
      </c>
      <c r="E110" s="46" t="s">
        <v>42</v>
      </c>
      <c r="F110" s="495">
        <f>MC!N219</f>
        <v>118.99</v>
      </c>
      <c r="G110" s="50">
        <v>0.49</v>
      </c>
      <c r="H110" s="419">
        <f t="shared" ref="H110:H113" si="60">G110*$G$5</f>
        <v>0.1</v>
      </c>
      <c r="I110" s="420">
        <f t="shared" ref="I110" si="61">G110+H110</f>
        <v>0.59</v>
      </c>
      <c r="J110" s="421">
        <f t="shared" ref="J110" si="62">I110*F110</f>
        <v>70.2</v>
      </c>
      <c r="L110" s="273"/>
      <c r="M110" s="273"/>
    </row>
    <row r="111" spans="1:14" ht="25.5" x14ac:dyDescent="0.25">
      <c r="A111" s="50" t="s">
        <v>120</v>
      </c>
      <c r="B111" s="18">
        <v>100577</v>
      </c>
      <c r="C111" s="18" t="s">
        <v>37</v>
      </c>
      <c r="D111" s="38" t="s">
        <v>38</v>
      </c>
      <c r="E111" s="40" t="s">
        <v>30</v>
      </c>
      <c r="F111" s="495">
        <f>MC!N222</f>
        <v>696.97</v>
      </c>
      <c r="G111" s="50">
        <v>0.8</v>
      </c>
      <c r="H111" s="419">
        <f t="shared" si="60"/>
        <v>0.17</v>
      </c>
      <c r="I111" s="420">
        <f t="shared" ref="I111:I113" si="63">G111+H111</f>
        <v>0.97</v>
      </c>
      <c r="J111" s="421">
        <f t="shared" ref="J111:J113" si="64">I111*F111</f>
        <v>676.06</v>
      </c>
      <c r="K111" s="108"/>
      <c r="L111" s="273"/>
      <c r="M111" s="273"/>
    </row>
    <row r="112" spans="1:14" ht="38.25" x14ac:dyDescent="0.25">
      <c r="A112" s="18" t="s">
        <v>121</v>
      </c>
      <c r="B112" s="818" t="s">
        <v>748</v>
      </c>
      <c r="C112" s="819"/>
      <c r="D112" s="11" t="s">
        <v>44</v>
      </c>
      <c r="E112" s="18" t="s">
        <v>30</v>
      </c>
      <c r="F112" s="496">
        <f>MC!N225</f>
        <v>696.97</v>
      </c>
      <c r="G112" s="302">
        <f>COMPOSIÇÕES!J82</f>
        <v>68.89</v>
      </c>
      <c r="H112" s="419">
        <f t="shared" si="60"/>
        <v>14.71</v>
      </c>
      <c r="I112" s="420">
        <f t="shared" si="63"/>
        <v>83.6</v>
      </c>
      <c r="J112" s="421">
        <f t="shared" si="64"/>
        <v>58266.69</v>
      </c>
      <c r="K112" s="108"/>
      <c r="L112" s="273"/>
      <c r="M112" s="273"/>
      <c r="N112" s="108"/>
    </row>
    <row r="113" spans="1:14" ht="63.75" x14ac:dyDescent="0.25">
      <c r="A113" s="50" t="s">
        <v>122</v>
      </c>
      <c r="B113" s="50">
        <v>94273</v>
      </c>
      <c r="C113" s="50" t="s">
        <v>10</v>
      </c>
      <c r="D113" s="39" t="s">
        <v>49</v>
      </c>
      <c r="E113" s="50" t="s">
        <v>42</v>
      </c>
      <c r="F113" s="495">
        <f>MC!N228</f>
        <v>250.04</v>
      </c>
      <c r="G113" s="61">
        <v>50.89</v>
      </c>
      <c r="H113" s="419">
        <f t="shared" si="60"/>
        <v>10.87</v>
      </c>
      <c r="I113" s="420">
        <f t="shared" si="63"/>
        <v>61.76</v>
      </c>
      <c r="J113" s="421">
        <f t="shared" si="64"/>
        <v>15442.47</v>
      </c>
      <c r="L113" s="273"/>
      <c r="M113" s="273"/>
    </row>
    <row r="114" spans="1:14" x14ac:dyDescent="0.25">
      <c r="A114" s="36"/>
      <c r="B114" s="36"/>
      <c r="C114" s="36"/>
      <c r="D114" s="36"/>
      <c r="E114" s="36"/>
      <c r="F114" s="495"/>
      <c r="G114" s="50"/>
      <c r="H114" s="36"/>
      <c r="I114" s="36"/>
      <c r="J114" s="36"/>
      <c r="L114" s="273"/>
      <c r="M114" s="273"/>
    </row>
    <row r="115" spans="1:14" x14ac:dyDescent="0.25">
      <c r="A115" s="37" t="s">
        <v>123</v>
      </c>
      <c r="B115" s="801" t="s">
        <v>451</v>
      </c>
      <c r="C115" s="802"/>
      <c r="D115" s="802"/>
      <c r="E115" s="802"/>
      <c r="F115" s="802"/>
      <c r="G115" s="802"/>
      <c r="H115" s="802"/>
      <c r="I115" s="803"/>
      <c r="J115" s="254">
        <f>SUM(J116:J126)</f>
        <v>71421.22</v>
      </c>
      <c r="L115" s="273"/>
      <c r="M115" s="273"/>
    </row>
    <row r="116" spans="1:14" x14ac:dyDescent="0.25">
      <c r="A116" s="44" t="s">
        <v>124</v>
      </c>
      <c r="B116" s="45"/>
      <c r="C116" s="45"/>
      <c r="D116" s="45" t="s">
        <v>33</v>
      </c>
      <c r="E116" s="36"/>
      <c r="F116" s="494"/>
      <c r="G116" s="50"/>
      <c r="H116" s="36"/>
      <c r="I116" s="36"/>
      <c r="J116" s="36"/>
      <c r="L116" s="273"/>
      <c r="M116" s="273"/>
    </row>
    <row r="117" spans="1:14" ht="25.5" x14ac:dyDescent="0.25">
      <c r="A117" s="50" t="s">
        <v>125</v>
      </c>
      <c r="B117" s="18">
        <v>101114</v>
      </c>
      <c r="C117" s="18" t="s">
        <v>10</v>
      </c>
      <c r="D117" s="48" t="s">
        <v>270</v>
      </c>
      <c r="E117" s="18" t="s">
        <v>34</v>
      </c>
      <c r="F117" s="491">
        <f>MC!N233</f>
        <v>63.34</v>
      </c>
      <c r="G117" s="50">
        <v>2.94</v>
      </c>
      <c r="H117" s="419">
        <f t="shared" ref="H117:H119" si="65">G117*$G$5</f>
        <v>0.63</v>
      </c>
      <c r="I117" s="420">
        <f t="shared" ref="I117" si="66">G117+H117</f>
        <v>3.57</v>
      </c>
      <c r="J117" s="421">
        <f t="shared" ref="J117" si="67">I117*F117</f>
        <v>226.12</v>
      </c>
      <c r="L117" s="273"/>
      <c r="M117" s="273"/>
    </row>
    <row r="118" spans="1:14" ht="51" x14ac:dyDescent="0.25">
      <c r="A118" s="50" t="s">
        <v>126</v>
      </c>
      <c r="B118" s="50">
        <v>100973</v>
      </c>
      <c r="C118" s="50" t="s">
        <v>10</v>
      </c>
      <c r="D118" s="41" t="s">
        <v>45</v>
      </c>
      <c r="E118" s="50" t="s">
        <v>34</v>
      </c>
      <c r="F118" s="491">
        <f>MC!N236</f>
        <v>79.180000000000007</v>
      </c>
      <c r="G118" s="50">
        <v>6.43</v>
      </c>
      <c r="H118" s="419">
        <f t="shared" si="65"/>
        <v>1.37</v>
      </c>
      <c r="I118" s="420">
        <f t="shared" ref="I118:I119" si="68">G118+H118</f>
        <v>7.8</v>
      </c>
      <c r="J118" s="421">
        <f t="shared" ref="J118:J119" si="69">I118*F118</f>
        <v>617.6</v>
      </c>
      <c r="L118" s="273"/>
      <c r="M118" s="273"/>
    </row>
    <row r="119" spans="1:14" ht="38.25" x14ac:dyDescent="0.25">
      <c r="A119" s="50" t="s">
        <v>127</v>
      </c>
      <c r="B119" s="18">
        <v>95875</v>
      </c>
      <c r="C119" s="18" t="s">
        <v>10</v>
      </c>
      <c r="D119" s="49" t="s">
        <v>35</v>
      </c>
      <c r="E119" s="18" t="s">
        <v>36</v>
      </c>
      <c r="F119" s="491">
        <f>MC!N239</f>
        <v>395.9</v>
      </c>
      <c r="G119" s="50">
        <v>1.75</v>
      </c>
      <c r="H119" s="419">
        <f t="shared" si="65"/>
        <v>0.37</v>
      </c>
      <c r="I119" s="420">
        <f t="shared" si="68"/>
        <v>2.12</v>
      </c>
      <c r="J119" s="421">
        <f t="shared" si="69"/>
        <v>839.31</v>
      </c>
      <c r="L119" s="273"/>
      <c r="M119" s="273"/>
    </row>
    <row r="120" spans="1:14" x14ac:dyDescent="0.25">
      <c r="A120" s="36"/>
      <c r="B120" s="36"/>
      <c r="C120" s="36"/>
      <c r="D120" s="36"/>
      <c r="E120" s="36"/>
      <c r="F120" s="494"/>
      <c r="G120" s="50"/>
      <c r="H120" s="36"/>
      <c r="I120" s="36"/>
      <c r="J120" s="36"/>
      <c r="L120" s="273"/>
      <c r="M120" s="273"/>
    </row>
    <row r="121" spans="1:14" x14ac:dyDescent="0.25">
      <c r="A121" s="44" t="s">
        <v>128</v>
      </c>
      <c r="B121" s="45"/>
      <c r="C121" s="45"/>
      <c r="D121" s="45" t="s">
        <v>40</v>
      </c>
      <c r="E121" s="36"/>
      <c r="F121" s="494"/>
      <c r="G121" s="50"/>
      <c r="H121" s="36"/>
      <c r="I121" s="36"/>
      <c r="J121" s="36"/>
      <c r="L121" s="273"/>
      <c r="M121" s="273"/>
    </row>
    <row r="122" spans="1:14" x14ac:dyDescent="0.25">
      <c r="A122" s="50" t="s">
        <v>129</v>
      </c>
      <c r="B122" s="9">
        <v>99064</v>
      </c>
      <c r="C122" s="10" t="s">
        <v>10</v>
      </c>
      <c r="D122" s="41" t="s">
        <v>41</v>
      </c>
      <c r="E122" s="46" t="s">
        <v>42</v>
      </c>
      <c r="F122" s="495">
        <f>MC!N243</f>
        <v>126.68</v>
      </c>
      <c r="G122" s="50">
        <v>0.49</v>
      </c>
      <c r="H122" s="419">
        <f t="shared" ref="H122:H125" si="70">G122*$G$5</f>
        <v>0.1</v>
      </c>
      <c r="I122" s="420">
        <f t="shared" ref="I122" si="71">G122+H122</f>
        <v>0.59</v>
      </c>
      <c r="J122" s="421">
        <f t="shared" ref="J122" si="72">I122*F122</f>
        <v>74.739999999999995</v>
      </c>
      <c r="L122" s="273"/>
      <c r="M122" s="273"/>
    </row>
    <row r="123" spans="1:14" ht="25.5" x14ac:dyDescent="0.25">
      <c r="A123" s="50" t="s">
        <v>130</v>
      </c>
      <c r="B123" s="18">
        <v>100577</v>
      </c>
      <c r="C123" s="18" t="s">
        <v>37</v>
      </c>
      <c r="D123" s="38" t="s">
        <v>38</v>
      </c>
      <c r="E123" s="40" t="s">
        <v>30</v>
      </c>
      <c r="F123" s="495">
        <f>MC!N246</f>
        <v>629</v>
      </c>
      <c r="G123" s="50">
        <v>0.8</v>
      </c>
      <c r="H123" s="419">
        <f t="shared" si="70"/>
        <v>0.17</v>
      </c>
      <c r="I123" s="420">
        <f t="shared" ref="I123:I125" si="73">G123+H123</f>
        <v>0.97</v>
      </c>
      <c r="J123" s="421">
        <f t="shared" ref="J123:J125" si="74">I123*F123</f>
        <v>610.13</v>
      </c>
      <c r="K123" s="108"/>
      <c r="L123" s="273"/>
      <c r="M123" s="273"/>
    </row>
    <row r="124" spans="1:14" ht="38.25" x14ac:dyDescent="0.25">
      <c r="A124" s="18" t="s">
        <v>131</v>
      </c>
      <c r="B124" s="818" t="s">
        <v>748</v>
      </c>
      <c r="C124" s="819"/>
      <c r="D124" s="11" t="s">
        <v>44</v>
      </c>
      <c r="E124" s="18" t="s">
        <v>30</v>
      </c>
      <c r="F124" s="496">
        <f>MC!N249</f>
        <v>629</v>
      </c>
      <c r="G124" s="302">
        <f>COMPOSIÇÕES!J82</f>
        <v>68.89</v>
      </c>
      <c r="H124" s="419">
        <f t="shared" si="70"/>
        <v>14.71</v>
      </c>
      <c r="I124" s="420">
        <f t="shared" si="73"/>
        <v>83.6</v>
      </c>
      <c r="J124" s="421">
        <f t="shared" si="74"/>
        <v>52584.4</v>
      </c>
      <c r="K124" s="108"/>
      <c r="L124" s="273"/>
      <c r="M124" s="273"/>
      <c r="N124" s="108"/>
    </row>
    <row r="125" spans="1:14" ht="63.75" x14ac:dyDescent="0.25">
      <c r="A125" s="50" t="s">
        <v>132</v>
      </c>
      <c r="B125" s="50">
        <v>94273</v>
      </c>
      <c r="C125" s="50" t="s">
        <v>10</v>
      </c>
      <c r="D125" s="39" t="s">
        <v>49</v>
      </c>
      <c r="E125" s="50" t="s">
        <v>42</v>
      </c>
      <c r="F125" s="495">
        <f>MC!N252</f>
        <v>266.66000000000003</v>
      </c>
      <c r="G125" s="61">
        <v>50.89</v>
      </c>
      <c r="H125" s="419">
        <f t="shared" si="70"/>
        <v>10.87</v>
      </c>
      <c r="I125" s="420">
        <f t="shared" si="73"/>
        <v>61.76</v>
      </c>
      <c r="J125" s="421">
        <f t="shared" si="74"/>
        <v>16468.919999999998</v>
      </c>
      <c r="L125" s="273"/>
      <c r="M125" s="273"/>
    </row>
    <row r="126" spans="1:14" x14ac:dyDescent="0.25">
      <c r="A126" s="36"/>
      <c r="B126" s="36"/>
      <c r="C126" s="36"/>
      <c r="D126" s="36"/>
      <c r="E126" s="36"/>
      <c r="F126" s="494"/>
      <c r="G126" s="50"/>
      <c r="H126" s="36"/>
      <c r="I126" s="36"/>
      <c r="J126" s="36"/>
      <c r="L126" s="273"/>
      <c r="M126" s="273"/>
    </row>
    <row r="127" spans="1:14" x14ac:dyDescent="0.25">
      <c r="A127" s="37" t="s">
        <v>133</v>
      </c>
      <c r="B127" s="801" t="s">
        <v>452</v>
      </c>
      <c r="C127" s="802"/>
      <c r="D127" s="802"/>
      <c r="E127" s="802"/>
      <c r="F127" s="802"/>
      <c r="G127" s="802"/>
      <c r="H127" s="802"/>
      <c r="I127" s="803"/>
      <c r="J127" s="254">
        <f>SUM(J128:J153)</f>
        <v>141200.88</v>
      </c>
      <c r="L127" s="273"/>
      <c r="M127" s="273"/>
    </row>
    <row r="128" spans="1:14" x14ac:dyDescent="0.25">
      <c r="A128" s="44" t="s">
        <v>134</v>
      </c>
      <c r="B128" s="45"/>
      <c r="C128" s="45"/>
      <c r="D128" s="45" t="s">
        <v>33</v>
      </c>
      <c r="E128" s="36"/>
      <c r="F128" s="494"/>
      <c r="G128" s="50"/>
      <c r="H128" s="36"/>
      <c r="I128" s="36"/>
      <c r="J128" s="36"/>
      <c r="L128" s="273"/>
      <c r="M128" s="273"/>
    </row>
    <row r="129" spans="1:14" ht="25.5" x14ac:dyDescent="0.25">
      <c r="A129" s="50" t="s">
        <v>135</v>
      </c>
      <c r="B129" s="18">
        <v>101114</v>
      </c>
      <c r="C129" s="18" t="s">
        <v>10</v>
      </c>
      <c r="D129" s="48" t="s">
        <v>270</v>
      </c>
      <c r="E129" s="18" t="s">
        <v>34</v>
      </c>
      <c r="F129" s="495">
        <f>MC!N257</f>
        <v>113.12</v>
      </c>
      <c r="G129" s="50">
        <v>2.94</v>
      </c>
      <c r="H129" s="419">
        <f t="shared" ref="H129:H131" si="75">G129*$G$5</f>
        <v>0.63</v>
      </c>
      <c r="I129" s="420">
        <f t="shared" ref="I129" si="76">G129+H129</f>
        <v>3.57</v>
      </c>
      <c r="J129" s="421">
        <f t="shared" ref="J129" si="77">I129*F129</f>
        <v>403.84</v>
      </c>
      <c r="L129" s="273"/>
      <c r="M129" s="273"/>
    </row>
    <row r="130" spans="1:14" ht="51" x14ac:dyDescent="0.25">
      <c r="A130" s="50" t="s">
        <v>136</v>
      </c>
      <c r="B130" s="50">
        <v>100973</v>
      </c>
      <c r="C130" s="50" t="s">
        <v>10</v>
      </c>
      <c r="D130" s="41" t="s">
        <v>45</v>
      </c>
      <c r="E130" s="50" t="s">
        <v>34</v>
      </c>
      <c r="F130" s="495">
        <f>MC!N260</f>
        <v>141.4</v>
      </c>
      <c r="G130" s="50">
        <v>6.43</v>
      </c>
      <c r="H130" s="419">
        <f t="shared" si="75"/>
        <v>1.37</v>
      </c>
      <c r="I130" s="420">
        <f t="shared" ref="I130:I131" si="78">G130+H130</f>
        <v>7.8</v>
      </c>
      <c r="J130" s="421">
        <f t="shared" ref="J130:J131" si="79">I130*F130</f>
        <v>1102.92</v>
      </c>
      <c r="L130" s="273"/>
      <c r="M130" s="273"/>
    </row>
    <row r="131" spans="1:14" ht="38.25" x14ac:dyDescent="0.25">
      <c r="A131" s="50" t="s">
        <v>137</v>
      </c>
      <c r="B131" s="18">
        <v>95875</v>
      </c>
      <c r="C131" s="18" t="s">
        <v>10</v>
      </c>
      <c r="D131" s="49" t="s">
        <v>35</v>
      </c>
      <c r="E131" s="18" t="s">
        <v>36</v>
      </c>
      <c r="F131" s="495">
        <f>MC!N263</f>
        <v>707</v>
      </c>
      <c r="G131" s="50">
        <v>1.75</v>
      </c>
      <c r="H131" s="419">
        <f t="shared" si="75"/>
        <v>0.37</v>
      </c>
      <c r="I131" s="420">
        <f t="shared" si="78"/>
        <v>2.12</v>
      </c>
      <c r="J131" s="421">
        <f t="shared" si="79"/>
        <v>1498.84</v>
      </c>
      <c r="L131" s="273"/>
      <c r="M131" s="273"/>
    </row>
    <row r="132" spans="1:14" x14ac:dyDescent="0.25">
      <c r="A132" s="36"/>
      <c r="B132" s="36"/>
      <c r="C132" s="36"/>
      <c r="D132" s="36"/>
      <c r="E132" s="36"/>
      <c r="F132" s="495"/>
      <c r="G132" s="50"/>
      <c r="H132" s="36"/>
      <c r="I132" s="36"/>
      <c r="J132" s="36"/>
      <c r="L132" s="273"/>
      <c r="M132" s="273"/>
    </row>
    <row r="133" spans="1:14" x14ac:dyDescent="0.25">
      <c r="A133" s="44" t="s">
        <v>138</v>
      </c>
      <c r="B133" s="45"/>
      <c r="C133" s="45"/>
      <c r="D133" s="45" t="s">
        <v>40</v>
      </c>
      <c r="E133" s="36"/>
      <c r="F133" s="495"/>
      <c r="G133" s="50"/>
      <c r="H133" s="36"/>
      <c r="I133" s="36"/>
      <c r="J133" s="36"/>
      <c r="L133" s="273"/>
      <c r="M133" s="273"/>
    </row>
    <row r="134" spans="1:14" x14ac:dyDescent="0.25">
      <c r="A134" s="50" t="s">
        <v>139</v>
      </c>
      <c r="B134" s="9">
        <v>99064</v>
      </c>
      <c r="C134" s="10" t="s">
        <v>10</v>
      </c>
      <c r="D134" s="41" t="s">
        <v>41</v>
      </c>
      <c r="E134" s="46" t="s">
        <v>42</v>
      </c>
      <c r="F134" s="495">
        <f>MC!N267</f>
        <v>188.53</v>
      </c>
      <c r="G134" s="50">
        <v>0.49</v>
      </c>
      <c r="H134" s="419">
        <f t="shared" ref="H134:H137" si="80">G134*$G$5</f>
        <v>0.1</v>
      </c>
      <c r="I134" s="420">
        <f t="shared" ref="I134" si="81">G134+H134</f>
        <v>0.59</v>
      </c>
      <c r="J134" s="421">
        <f t="shared" ref="J134" si="82">I134*F134</f>
        <v>111.23</v>
      </c>
      <c r="L134" s="273"/>
      <c r="M134" s="273"/>
    </row>
    <row r="135" spans="1:14" ht="25.5" x14ac:dyDescent="0.25">
      <c r="A135" s="50" t="s">
        <v>140</v>
      </c>
      <c r="B135" s="18">
        <v>100577</v>
      </c>
      <c r="C135" s="18" t="s">
        <v>37</v>
      </c>
      <c r="D135" s="38" t="s">
        <v>38</v>
      </c>
      <c r="E135" s="40" t="s">
        <v>30</v>
      </c>
      <c r="F135" s="495">
        <f>MC!N269</f>
        <v>1099.98</v>
      </c>
      <c r="G135" s="50">
        <v>0.8</v>
      </c>
      <c r="H135" s="419">
        <f t="shared" si="80"/>
        <v>0.17</v>
      </c>
      <c r="I135" s="420">
        <f t="shared" ref="I135:I137" si="83">G135+H135</f>
        <v>0.97</v>
      </c>
      <c r="J135" s="421">
        <f t="shared" ref="J135:J137" si="84">I135*F135</f>
        <v>1066.98</v>
      </c>
      <c r="K135" s="108"/>
      <c r="L135" s="273"/>
      <c r="M135" s="273"/>
    </row>
    <row r="136" spans="1:14" ht="38.25" x14ac:dyDescent="0.25">
      <c r="A136" s="18" t="s">
        <v>141</v>
      </c>
      <c r="B136" s="818" t="s">
        <v>748</v>
      </c>
      <c r="C136" s="819"/>
      <c r="D136" s="11" t="s">
        <v>44</v>
      </c>
      <c r="E136" s="18" t="s">
        <v>30</v>
      </c>
      <c r="F136" s="496">
        <f>MC!N272</f>
        <v>1099.98</v>
      </c>
      <c r="G136" s="302">
        <f>COMPOSIÇÕES!J82</f>
        <v>68.89</v>
      </c>
      <c r="H136" s="419">
        <f t="shared" si="80"/>
        <v>14.71</v>
      </c>
      <c r="I136" s="420">
        <f t="shared" si="83"/>
        <v>83.6</v>
      </c>
      <c r="J136" s="421">
        <f t="shared" si="84"/>
        <v>91958.33</v>
      </c>
      <c r="K136" s="108"/>
      <c r="L136" s="273"/>
      <c r="M136" s="273"/>
      <c r="N136" s="108"/>
    </row>
    <row r="137" spans="1:14" ht="63.75" x14ac:dyDescent="0.25">
      <c r="A137" s="50" t="s">
        <v>142</v>
      </c>
      <c r="B137" s="50">
        <v>94273</v>
      </c>
      <c r="C137" s="50" t="s">
        <v>10</v>
      </c>
      <c r="D137" s="39" t="s">
        <v>49</v>
      </c>
      <c r="E137" s="50" t="s">
        <v>42</v>
      </c>
      <c r="F137" s="495">
        <f>MC!N275</f>
        <v>376.8</v>
      </c>
      <c r="G137" s="61">
        <v>50.89</v>
      </c>
      <c r="H137" s="419">
        <f t="shared" si="80"/>
        <v>10.87</v>
      </c>
      <c r="I137" s="420">
        <f t="shared" si="83"/>
        <v>61.76</v>
      </c>
      <c r="J137" s="421">
        <f t="shared" si="84"/>
        <v>23271.17</v>
      </c>
      <c r="L137" s="273"/>
      <c r="M137" s="273"/>
    </row>
    <row r="138" spans="1:14" x14ac:dyDescent="0.25">
      <c r="A138" s="50"/>
      <c r="B138" s="50"/>
      <c r="C138" s="50"/>
      <c r="D138" s="39"/>
      <c r="E138" s="50"/>
      <c r="F138" s="495"/>
      <c r="G138" s="61"/>
      <c r="H138" s="13"/>
      <c r="I138" s="14"/>
      <c r="J138" s="15"/>
      <c r="L138" s="273"/>
      <c r="M138" s="273"/>
    </row>
    <row r="139" spans="1:14" x14ac:dyDescent="0.25">
      <c r="A139" s="44" t="s">
        <v>601</v>
      </c>
      <c r="B139" s="45"/>
      <c r="C139" s="45"/>
      <c r="D139" s="45" t="s">
        <v>471</v>
      </c>
      <c r="E139" s="50"/>
      <c r="F139" s="495"/>
      <c r="G139" s="61"/>
      <c r="H139" s="13"/>
      <c r="I139" s="14"/>
      <c r="J139" s="15"/>
      <c r="L139" s="273"/>
      <c r="M139" s="273"/>
    </row>
    <row r="140" spans="1:14" x14ac:dyDescent="0.25">
      <c r="A140" s="9" t="s">
        <v>602</v>
      </c>
      <c r="B140" s="106">
        <v>99063</v>
      </c>
      <c r="C140" s="9" t="s">
        <v>10</v>
      </c>
      <c r="D140" s="349" t="s">
        <v>48</v>
      </c>
      <c r="E140" s="9" t="s">
        <v>42</v>
      </c>
      <c r="F140" s="497">
        <f>MC!N279</f>
        <v>16.72</v>
      </c>
      <c r="G140" s="9">
        <v>4.01</v>
      </c>
      <c r="H140" s="419">
        <f t="shared" ref="H140:H152" si="85">G140*$G$5</f>
        <v>0.86</v>
      </c>
      <c r="I140" s="420">
        <f t="shared" ref="I140" si="86">G140+H140</f>
        <v>4.87</v>
      </c>
      <c r="J140" s="421">
        <f t="shared" ref="J140" si="87">I140*F140</f>
        <v>81.430000000000007</v>
      </c>
      <c r="L140" s="273"/>
      <c r="M140" s="273"/>
    </row>
    <row r="141" spans="1:14" ht="64.5" x14ac:dyDescent="0.25">
      <c r="A141" s="9" t="s">
        <v>603</v>
      </c>
      <c r="B141" s="50">
        <v>90082</v>
      </c>
      <c r="C141" s="50" t="s">
        <v>10</v>
      </c>
      <c r="D141" s="47" t="s">
        <v>50</v>
      </c>
      <c r="E141" s="50" t="s">
        <v>34</v>
      </c>
      <c r="F141" s="497">
        <f>MC!N282</f>
        <v>37.619999999999997</v>
      </c>
      <c r="G141" s="426">
        <v>7.9</v>
      </c>
      <c r="H141" s="419">
        <f t="shared" si="85"/>
        <v>1.69</v>
      </c>
      <c r="I141" s="420">
        <f t="shared" ref="I141:I152" si="88">G141+H141</f>
        <v>9.59</v>
      </c>
      <c r="J141" s="421">
        <f t="shared" ref="J141:J152" si="89">I141*F141</f>
        <v>360.78</v>
      </c>
      <c r="L141" s="273"/>
      <c r="M141" s="273"/>
    </row>
    <row r="142" spans="1:14" ht="64.5" x14ac:dyDescent="0.25">
      <c r="A142" s="9" t="s">
        <v>604</v>
      </c>
      <c r="B142" s="50">
        <v>90084</v>
      </c>
      <c r="C142" s="50" t="s">
        <v>10</v>
      </c>
      <c r="D142" s="47" t="s">
        <v>51</v>
      </c>
      <c r="E142" s="50" t="s">
        <v>34</v>
      </c>
      <c r="F142" s="491">
        <f>MC!N285</f>
        <v>4.72</v>
      </c>
      <c r="G142" s="50">
        <v>7.65</v>
      </c>
      <c r="H142" s="419">
        <f t="shared" si="85"/>
        <v>1.63</v>
      </c>
      <c r="I142" s="420">
        <f t="shared" si="88"/>
        <v>9.2799999999999994</v>
      </c>
      <c r="J142" s="421">
        <f t="shared" si="89"/>
        <v>43.8</v>
      </c>
      <c r="L142" s="273"/>
      <c r="M142" s="273"/>
    </row>
    <row r="143" spans="1:14" ht="51.75" x14ac:dyDescent="0.25">
      <c r="A143" s="9" t="s">
        <v>605</v>
      </c>
      <c r="B143" s="106">
        <v>92210</v>
      </c>
      <c r="C143" s="9" t="s">
        <v>10</v>
      </c>
      <c r="D143" s="342" t="s">
        <v>266</v>
      </c>
      <c r="E143" s="9" t="s">
        <v>42</v>
      </c>
      <c r="F143" s="497">
        <f>MC!N289</f>
        <v>16.72</v>
      </c>
      <c r="G143" s="9">
        <v>107.62</v>
      </c>
      <c r="H143" s="419">
        <f t="shared" si="85"/>
        <v>22.98</v>
      </c>
      <c r="I143" s="420">
        <f t="shared" si="88"/>
        <v>130.6</v>
      </c>
      <c r="J143" s="421">
        <f t="shared" si="89"/>
        <v>2183.63</v>
      </c>
      <c r="L143" s="273"/>
      <c r="M143" s="273"/>
    </row>
    <row r="144" spans="1:14" ht="39" x14ac:dyDescent="0.25">
      <c r="A144" s="9" t="s">
        <v>606</v>
      </c>
      <c r="B144" s="106">
        <v>101620</v>
      </c>
      <c r="C144" s="9" t="s">
        <v>10</v>
      </c>
      <c r="D144" s="342" t="s">
        <v>53</v>
      </c>
      <c r="E144" s="9" t="s">
        <v>34</v>
      </c>
      <c r="F144" s="497">
        <f>MC!N292</f>
        <v>3.76</v>
      </c>
      <c r="G144" s="9">
        <v>155.78</v>
      </c>
      <c r="H144" s="419">
        <f t="shared" si="85"/>
        <v>33.26</v>
      </c>
      <c r="I144" s="420">
        <f t="shared" si="88"/>
        <v>189.04</v>
      </c>
      <c r="J144" s="421">
        <f t="shared" si="89"/>
        <v>710.79</v>
      </c>
      <c r="L144" s="273"/>
      <c r="M144" s="273"/>
    </row>
    <row r="145" spans="1:13" ht="26.25" x14ac:dyDescent="0.25">
      <c r="A145" s="9" t="s">
        <v>607</v>
      </c>
      <c r="B145" s="106">
        <v>93382</v>
      </c>
      <c r="C145" s="9" t="s">
        <v>10</v>
      </c>
      <c r="D145" s="342" t="s">
        <v>271</v>
      </c>
      <c r="E145" s="9" t="s">
        <v>34</v>
      </c>
      <c r="F145" s="497">
        <f>MC!N295</f>
        <v>35.299999999999997</v>
      </c>
      <c r="G145" s="9">
        <v>22.91</v>
      </c>
      <c r="H145" s="419">
        <f t="shared" si="85"/>
        <v>4.8899999999999997</v>
      </c>
      <c r="I145" s="420">
        <f t="shared" si="88"/>
        <v>27.8</v>
      </c>
      <c r="J145" s="421">
        <f t="shared" si="89"/>
        <v>981.34</v>
      </c>
      <c r="L145" s="273"/>
      <c r="M145" s="273"/>
    </row>
    <row r="146" spans="1:13" ht="51" x14ac:dyDescent="0.25">
      <c r="A146" s="9" t="s">
        <v>608</v>
      </c>
      <c r="B146" s="106">
        <v>100973</v>
      </c>
      <c r="C146" s="9" t="s">
        <v>10</v>
      </c>
      <c r="D146" s="56" t="s">
        <v>45</v>
      </c>
      <c r="E146" s="9" t="s">
        <v>34</v>
      </c>
      <c r="F146" s="497">
        <f>MC!N298</f>
        <v>7.04</v>
      </c>
      <c r="G146" s="9">
        <v>6.43</v>
      </c>
      <c r="H146" s="419">
        <f t="shared" si="85"/>
        <v>1.37</v>
      </c>
      <c r="I146" s="420">
        <f t="shared" si="88"/>
        <v>7.8</v>
      </c>
      <c r="J146" s="421">
        <f t="shared" si="89"/>
        <v>54.91</v>
      </c>
      <c r="L146" s="273"/>
      <c r="M146" s="273"/>
    </row>
    <row r="147" spans="1:13" ht="25.5" x14ac:dyDescent="0.25">
      <c r="A147" s="9" t="s">
        <v>609</v>
      </c>
      <c r="B147" s="106">
        <v>97913</v>
      </c>
      <c r="C147" s="9" t="s">
        <v>10</v>
      </c>
      <c r="D147" s="56" t="s">
        <v>54</v>
      </c>
      <c r="E147" s="9" t="s">
        <v>55</v>
      </c>
      <c r="F147" s="503">
        <f>MC!N301</f>
        <v>44</v>
      </c>
      <c r="G147" s="9">
        <v>2.2799999999999998</v>
      </c>
      <c r="H147" s="419">
        <f t="shared" si="85"/>
        <v>0.49</v>
      </c>
      <c r="I147" s="420">
        <f t="shared" si="88"/>
        <v>2.77</v>
      </c>
      <c r="J147" s="421">
        <f t="shared" si="89"/>
        <v>121.88</v>
      </c>
      <c r="L147" s="273"/>
      <c r="M147" s="273"/>
    </row>
    <row r="148" spans="1:13" ht="38.25" x14ac:dyDescent="0.25">
      <c r="A148" s="9" t="s">
        <v>610</v>
      </c>
      <c r="B148" s="106">
        <v>101572</v>
      </c>
      <c r="C148" s="9" t="s">
        <v>10</v>
      </c>
      <c r="D148" s="104" t="s">
        <v>275</v>
      </c>
      <c r="E148" s="347" t="s">
        <v>30</v>
      </c>
      <c r="F148" s="497">
        <f>MC!N304</f>
        <v>51.43</v>
      </c>
      <c r="G148" s="9">
        <v>13.11</v>
      </c>
      <c r="H148" s="419">
        <f t="shared" si="85"/>
        <v>2.8</v>
      </c>
      <c r="I148" s="420">
        <f t="shared" si="88"/>
        <v>15.91</v>
      </c>
      <c r="J148" s="421">
        <f t="shared" si="89"/>
        <v>818.25</v>
      </c>
      <c r="L148" s="273"/>
      <c r="M148" s="273"/>
    </row>
    <row r="149" spans="1:13" ht="39" x14ac:dyDescent="0.25">
      <c r="A149" s="9" t="s">
        <v>611</v>
      </c>
      <c r="B149" s="106">
        <v>99241</v>
      </c>
      <c r="C149" s="9" t="s">
        <v>10</v>
      </c>
      <c r="D149" s="342" t="s">
        <v>58</v>
      </c>
      <c r="E149" s="9" t="s">
        <v>42</v>
      </c>
      <c r="F149" s="497">
        <f>MC!N307</f>
        <v>1.8</v>
      </c>
      <c r="G149" s="9">
        <v>1218.05</v>
      </c>
      <c r="H149" s="419">
        <f t="shared" si="85"/>
        <v>260.05</v>
      </c>
      <c r="I149" s="420">
        <f t="shared" si="88"/>
        <v>1478.1</v>
      </c>
      <c r="J149" s="421">
        <f t="shared" si="89"/>
        <v>2660.58</v>
      </c>
      <c r="L149" s="273"/>
      <c r="M149" s="273"/>
    </row>
    <row r="150" spans="1:13" ht="39" x14ac:dyDescent="0.25">
      <c r="A150" s="9" t="s">
        <v>612</v>
      </c>
      <c r="B150" s="106">
        <v>97961</v>
      </c>
      <c r="C150" s="9" t="s">
        <v>10</v>
      </c>
      <c r="D150" s="342" t="s">
        <v>273</v>
      </c>
      <c r="E150" s="9" t="s">
        <v>57</v>
      </c>
      <c r="F150" s="497">
        <f>MC!N310</f>
        <v>2</v>
      </c>
      <c r="G150" s="9">
        <v>1668.77</v>
      </c>
      <c r="H150" s="419">
        <f t="shared" si="85"/>
        <v>356.28</v>
      </c>
      <c r="I150" s="420">
        <f t="shared" si="88"/>
        <v>2025.05</v>
      </c>
      <c r="J150" s="421">
        <f t="shared" si="89"/>
        <v>4050.1</v>
      </c>
      <c r="L150" s="273"/>
      <c r="M150" s="273"/>
    </row>
    <row r="151" spans="1:13" ht="39" x14ac:dyDescent="0.25">
      <c r="A151" s="9" t="s">
        <v>613</v>
      </c>
      <c r="B151" s="106">
        <v>97973</v>
      </c>
      <c r="C151" s="9" t="s">
        <v>10</v>
      </c>
      <c r="D151" s="342" t="s">
        <v>445</v>
      </c>
      <c r="E151" s="9" t="s">
        <v>57</v>
      </c>
      <c r="F151" s="497">
        <f>MC!N313</f>
        <v>2</v>
      </c>
      <c r="G151" s="9">
        <v>3194.57</v>
      </c>
      <c r="H151" s="419">
        <f t="shared" si="85"/>
        <v>682.04</v>
      </c>
      <c r="I151" s="420">
        <f t="shared" si="88"/>
        <v>3876.61</v>
      </c>
      <c r="J151" s="421">
        <f t="shared" si="89"/>
        <v>7753.22</v>
      </c>
      <c r="L151" s="273"/>
      <c r="M151" s="273"/>
    </row>
    <row r="152" spans="1:13" ht="39" x14ac:dyDescent="0.25">
      <c r="A152" s="9" t="s">
        <v>614</v>
      </c>
      <c r="B152" s="828" t="s">
        <v>835</v>
      </c>
      <c r="C152" s="829"/>
      <c r="D152" s="342" t="s">
        <v>274</v>
      </c>
      <c r="E152" s="9" t="s">
        <v>57</v>
      </c>
      <c r="F152" s="497">
        <f>MC!N316</f>
        <v>2</v>
      </c>
      <c r="G152" s="9">
        <f>COMPOSIÇÕES!J92</f>
        <v>810.41</v>
      </c>
      <c r="H152" s="419">
        <f t="shared" si="85"/>
        <v>173.02</v>
      </c>
      <c r="I152" s="420">
        <f t="shared" si="88"/>
        <v>983.43</v>
      </c>
      <c r="J152" s="421">
        <f t="shared" si="89"/>
        <v>1966.86</v>
      </c>
      <c r="L152" s="273"/>
      <c r="M152" s="273"/>
    </row>
    <row r="153" spans="1:13" x14ac:dyDescent="0.25">
      <c r="A153" s="9"/>
      <c r="B153" s="50"/>
      <c r="C153" s="50"/>
      <c r="D153" s="39"/>
      <c r="E153" s="50"/>
      <c r="F153" s="495"/>
      <c r="G153" s="61"/>
      <c r="H153" s="13"/>
      <c r="I153" s="14"/>
      <c r="J153" s="15"/>
      <c r="L153" s="273"/>
      <c r="M153" s="273"/>
    </row>
    <row r="154" spans="1:13" x14ac:dyDescent="0.25">
      <c r="A154" s="37" t="s">
        <v>143</v>
      </c>
      <c r="B154" s="801" t="s">
        <v>453</v>
      </c>
      <c r="C154" s="802"/>
      <c r="D154" s="802"/>
      <c r="E154" s="802"/>
      <c r="F154" s="802"/>
      <c r="G154" s="802"/>
      <c r="H154" s="802"/>
      <c r="I154" s="803"/>
      <c r="J154" s="253">
        <f>SUM(J156:J165)</f>
        <v>196452.63</v>
      </c>
      <c r="L154" s="273"/>
      <c r="M154" s="273"/>
    </row>
    <row r="155" spans="1:13" x14ac:dyDescent="0.25">
      <c r="A155" s="44" t="s">
        <v>144</v>
      </c>
      <c r="B155" s="45"/>
      <c r="C155" s="45"/>
      <c r="D155" s="45" t="s">
        <v>33</v>
      </c>
      <c r="E155" s="36"/>
      <c r="F155" s="491"/>
      <c r="G155" s="50"/>
      <c r="H155" s="36"/>
      <c r="I155" s="36"/>
      <c r="J155" s="36"/>
      <c r="L155" s="273"/>
      <c r="M155" s="273"/>
    </row>
    <row r="156" spans="1:13" ht="25.5" x14ac:dyDescent="0.25">
      <c r="A156" s="50" t="s">
        <v>145</v>
      </c>
      <c r="B156" s="18">
        <v>101114</v>
      </c>
      <c r="C156" s="18" t="s">
        <v>10</v>
      </c>
      <c r="D156" s="48" t="s">
        <v>270</v>
      </c>
      <c r="E156" s="18" t="s">
        <v>34</v>
      </c>
      <c r="F156" s="491">
        <f>MC!N321</f>
        <v>241.16</v>
      </c>
      <c r="G156" s="50">
        <v>2.94</v>
      </c>
      <c r="H156" s="419">
        <f t="shared" ref="H156:H158" si="90">G156*$G$5</f>
        <v>0.63</v>
      </c>
      <c r="I156" s="420">
        <f t="shared" ref="I156" si="91">G156+H156</f>
        <v>3.57</v>
      </c>
      <c r="J156" s="421">
        <f t="shared" ref="J156" si="92">I156*F156</f>
        <v>860.94</v>
      </c>
      <c r="L156" s="273"/>
      <c r="M156" s="273"/>
    </row>
    <row r="157" spans="1:13" ht="51" x14ac:dyDescent="0.25">
      <c r="A157" s="50" t="s">
        <v>146</v>
      </c>
      <c r="B157" s="50">
        <v>100973</v>
      </c>
      <c r="C157" s="50" t="s">
        <v>10</v>
      </c>
      <c r="D157" s="41" t="s">
        <v>45</v>
      </c>
      <c r="E157" s="50" t="s">
        <v>34</v>
      </c>
      <c r="F157" s="491">
        <f>MC!N324</f>
        <v>301.45</v>
      </c>
      <c r="G157" s="50">
        <v>6.43</v>
      </c>
      <c r="H157" s="419">
        <f t="shared" si="90"/>
        <v>1.37</v>
      </c>
      <c r="I157" s="420">
        <f t="shared" ref="I157:I158" si="93">G157+H157</f>
        <v>7.8</v>
      </c>
      <c r="J157" s="421">
        <f t="shared" ref="J157:J158" si="94">I157*F157</f>
        <v>2351.31</v>
      </c>
      <c r="L157" s="273"/>
      <c r="M157" s="273"/>
    </row>
    <row r="158" spans="1:13" ht="38.25" x14ac:dyDescent="0.25">
      <c r="A158" s="50" t="s">
        <v>147</v>
      </c>
      <c r="B158" s="18">
        <v>95875</v>
      </c>
      <c r="C158" s="18" t="s">
        <v>10</v>
      </c>
      <c r="D158" s="49" t="s">
        <v>35</v>
      </c>
      <c r="E158" s="18" t="s">
        <v>36</v>
      </c>
      <c r="F158" s="491">
        <f>MC!N327</f>
        <v>1507.25</v>
      </c>
      <c r="G158" s="50">
        <v>1.75</v>
      </c>
      <c r="H158" s="419">
        <f t="shared" si="90"/>
        <v>0.37</v>
      </c>
      <c r="I158" s="420">
        <f t="shared" si="93"/>
        <v>2.12</v>
      </c>
      <c r="J158" s="421">
        <f t="shared" si="94"/>
        <v>3195.37</v>
      </c>
      <c r="L158" s="273"/>
      <c r="M158" s="273"/>
    </row>
    <row r="159" spans="1:13" x14ac:dyDescent="0.25">
      <c r="A159" s="36"/>
      <c r="B159" s="36"/>
      <c r="C159" s="36"/>
      <c r="D159" s="36"/>
      <c r="E159" s="36"/>
      <c r="F159" s="491"/>
      <c r="G159" s="50"/>
      <c r="H159" s="36"/>
      <c r="I159" s="36"/>
      <c r="J159" s="36"/>
      <c r="L159" s="273"/>
      <c r="M159" s="273"/>
    </row>
    <row r="160" spans="1:13" x14ac:dyDescent="0.25">
      <c r="A160" s="44" t="s">
        <v>148</v>
      </c>
      <c r="B160" s="45"/>
      <c r="C160" s="45"/>
      <c r="D160" s="45" t="s">
        <v>40</v>
      </c>
      <c r="E160" s="36"/>
      <c r="F160" s="491"/>
      <c r="G160" s="50"/>
      <c r="H160" s="36"/>
      <c r="I160" s="36"/>
      <c r="J160" s="36"/>
      <c r="L160" s="273"/>
      <c r="M160" s="273"/>
    </row>
    <row r="161" spans="1:14" x14ac:dyDescent="0.25">
      <c r="A161" s="50" t="s">
        <v>149</v>
      </c>
      <c r="B161" s="9">
        <v>99064</v>
      </c>
      <c r="C161" s="10" t="s">
        <v>10</v>
      </c>
      <c r="D161" s="41" t="s">
        <v>41</v>
      </c>
      <c r="E161" s="46" t="s">
        <v>42</v>
      </c>
      <c r="F161" s="491">
        <f>MC!N331</f>
        <v>344.52</v>
      </c>
      <c r="G161" s="50">
        <v>0.49</v>
      </c>
      <c r="H161" s="419">
        <f t="shared" ref="H161:H164" si="95">G161*$G$5</f>
        <v>0.1</v>
      </c>
      <c r="I161" s="420">
        <f t="shared" ref="I161" si="96">G161+H161</f>
        <v>0.59</v>
      </c>
      <c r="J161" s="421">
        <f t="shared" ref="J161" si="97">I161*F161</f>
        <v>203.27</v>
      </c>
      <c r="L161" s="273"/>
      <c r="M161" s="273"/>
    </row>
    <row r="162" spans="1:14" ht="25.5" x14ac:dyDescent="0.25">
      <c r="A162" s="50" t="s">
        <v>150</v>
      </c>
      <c r="B162" s="18">
        <v>100577</v>
      </c>
      <c r="C162" s="18" t="s">
        <v>37</v>
      </c>
      <c r="D162" s="38" t="s">
        <v>38</v>
      </c>
      <c r="E162" s="40" t="s">
        <v>30</v>
      </c>
      <c r="F162" s="491">
        <f>MC!N333</f>
        <v>1746.94</v>
      </c>
      <c r="G162" s="50">
        <v>0.8</v>
      </c>
      <c r="H162" s="419">
        <f t="shared" si="95"/>
        <v>0.17</v>
      </c>
      <c r="I162" s="420">
        <f t="shared" ref="I162:I164" si="98">G162+H162</f>
        <v>0.97</v>
      </c>
      <c r="J162" s="421">
        <f t="shared" ref="J162:J164" si="99">I162*F162</f>
        <v>1694.53</v>
      </c>
      <c r="K162" s="108"/>
      <c r="L162" s="273"/>
      <c r="M162" s="273"/>
    </row>
    <row r="163" spans="1:14" ht="38.25" x14ac:dyDescent="0.25">
      <c r="A163" s="18" t="s">
        <v>151</v>
      </c>
      <c r="B163" s="818" t="s">
        <v>748</v>
      </c>
      <c r="C163" s="819"/>
      <c r="D163" s="11" t="s">
        <v>44</v>
      </c>
      <c r="E163" s="18" t="s">
        <v>30</v>
      </c>
      <c r="F163" s="489">
        <f>MC!N336</f>
        <v>1746.94</v>
      </c>
      <c r="G163" s="302">
        <f>COMPOSIÇÕES!J82</f>
        <v>68.89</v>
      </c>
      <c r="H163" s="419">
        <f t="shared" si="95"/>
        <v>14.71</v>
      </c>
      <c r="I163" s="420">
        <f t="shared" si="98"/>
        <v>83.6</v>
      </c>
      <c r="J163" s="421">
        <f t="shared" si="99"/>
        <v>146044.18</v>
      </c>
      <c r="K163" s="108"/>
      <c r="L163" s="273"/>
      <c r="M163" s="273"/>
      <c r="N163" s="108"/>
    </row>
    <row r="164" spans="1:14" ht="63.75" x14ac:dyDescent="0.25">
      <c r="A164" s="50" t="s">
        <v>152</v>
      </c>
      <c r="B164" s="50">
        <v>94273</v>
      </c>
      <c r="C164" s="50" t="s">
        <v>10</v>
      </c>
      <c r="D164" s="39" t="s">
        <v>49</v>
      </c>
      <c r="E164" s="50" t="s">
        <v>42</v>
      </c>
      <c r="F164" s="491">
        <f>MC!N339</f>
        <v>681.72</v>
      </c>
      <c r="G164" s="61">
        <v>50.89</v>
      </c>
      <c r="H164" s="419">
        <f t="shared" si="95"/>
        <v>10.87</v>
      </c>
      <c r="I164" s="420">
        <f t="shared" si="98"/>
        <v>61.76</v>
      </c>
      <c r="J164" s="421">
        <f t="shared" si="99"/>
        <v>42103.03</v>
      </c>
      <c r="L164" s="273"/>
      <c r="M164" s="273"/>
    </row>
    <row r="165" spans="1:14" x14ac:dyDescent="0.25">
      <c r="A165" s="36"/>
      <c r="B165" s="36"/>
      <c r="C165" s="36"/>
      <c r="D165" s="36"/>
      <c r="E165" s="36"/>
      <c r="F165" s="494"/>
      <c r="G165" s="50"/>
      <c r="H165" s="36"/>
      <c r="I165" s="36"/>
      <c r="J165" s="36"/>
      <c r="L165" s="273"/>
      <c r="M165" s="273"/>
    </row>
    <row r="166" spans="1:14" x14ac:dyDescent="0.25">
      <c r="A166" s="37" t="s">
        <v>153</v>
      </c>
      <c r="B166" s="801" t="s">
        <v>454</v>
      </c>
      <c r="C166" s="802"/>
      <c r="D166" s="802"/>
      <c r="E166" s="802"/>
      <c r="F166" s="802"/>
      <c r="G166" s="802"/>
      <c r="H166" s="802"/>
      <c r="I166" s="803"/>
      <c r="J166" s="254">
        <f>SUM(J167:J177)</f>
        <v>74363.09</v>
      </c>
      <c r="L166" s="273"/>
      <c r="M166" s="273"/>
    </row>
    <row r="167" spans="1:14" x14ac:dyDescent="0.25">
      <c r="A167" s="44" t="s">
        <v>154</v>
      </c>
      <c r="B167" s="45"/>
      <c r="C167" s="45"/>
      <c r="D167" s="45" t="s">
        <v>33</v>
      </c>
      <c r="E167" s="36"/>
      <c r="F167" s="491"/>
      <c r="G167" s="50"/>
      <c r="H167" s="36"/>
      <c r="I167" s="36"/>
      <c r="J167" s="36"/>
      <c r="L167" s="273"/>
      <c r="M167" s="273"/>
    </row>
    <row r="168" spans="1:14" ht="25.5" x14ac:dyDescent="0.25">
      <c r="A168" s="50" t="s">
        <v>155</v>
      </c>
      <c r="B168" s="18">
        <v>101114</v>
      </c>
      <c r="C168" s="18" t="s">
        <v>10</v>
      </c>
      <c r="D168" s="48" t="s">
        <v>270</v>
      </c>
      <c r="E168" s="18" t="s">
        <v>34</v>
      </c>
      <c r="F168" s="504">
        <f>MC!N344</f>
        <v>71.459999999999994</v>
      </c>
      <c r="G168" s="50">
        <v>2.94</v>
      </c>
      <c r="H168" s="419">
        <f t="shared" ref="H168:H170" si="100">G168*$G$5</f>
        <v>0.63</v>
      </c>
      <c r="I168" s="420">
        <f t="shared" ref="I168" si="101">G168+H168</f>
        <v>3.57</v>
      </c>
      <c r="J168" s="421">
        <f t="shared" ref="J168" si="102">I168*F168</f>
        <v>255.11</v>
      </c>
      <c r="L168" s="273"/>
      <c r="M168" s="273"/>
    </row>
    <row r="169" spans="1:14" ht="51" x14ac:dyDescent="0.25">
      <c r="A169" s="50" t="s">
        <v>156</v>
      </c>
      <c r="B169" s="50">
        <v>100973</v>
      </c>
      <c r="C169" s="50" t="s">
        <v>10</v>
      </c>
      <c r="D169" s="41" t="s">
        <v>45</v>
      </c>
      <c r="E169" s="50" t="s">
        <v>34</v>
      </c>
      <c r="F169" s="491">
        <f>MC!N347</f>
        <v>89.33</v>
      </c>
      <c r="G169" s="50">
        <v>6.43</v>
      </c>
      <c r="H169" s="419">
        <f t="shared" si="100"/>
        <v>1.37</v>
      </c>
      <c r="I169" s="420">
        <f t="shared" ref="I169:I170" si="103">G169+H169</f>
        <v>7.8</v>
      </c>
      <c r="J169" s="421">
        <f t="shared" ref="J169:J170" si="104">I169*F169</f>
        <v>696.77</v>
      </c>
      <c r="L169" s="273"/>
      <c r="M169" s="273"/>
    </row>
    <row r="170" spans="1:14" ht="38.25" x14ac:dyDescent="0.25">
      <c r="A170" s="50" t="s">
        <v>157</v>
      </c>
      <c r="B170" s="18">
        <v>95875</v>
      </c>
      <c r="C170" s="18" t="s">
        <v>10</v>
      </c>
      <c r="D170" s="49" t="s">
        <v>35</v>
      </c>
      <c r="E170" s="18" t="s">
        <v>36</v>
      </c>
      <c r="F170" s="491">
        <f>MC!N350</f>
        <v>446.65</v>
      </c>
      <c r="G170" s="50">
        <v>1.75</v>
      </c>
      <c r="H170" s="419">
        <f t="shared" si="100"/>
        <v>0.37</v>
      </c>
      <c r="I170" s="420">
        <f t="shared" si="103"/>
        <v>2.12</v>
      </c>
      <c r="J170" s="421">
        <f t="shared" si="104"/>
        <v>946.9</v>
      </c>
      <c r="L170" s="273"/>
      <c r="M170" s="273"/>
    </row>
    <row r="171" spans="1:14" x14ac:dyDescent="0.25">
      <c r="A171" s="36"/>
      <c r="B171" s="36"/>
      <c r="C171" s="36"/>
      <c r="D171" s="36"/>
      <c r="E171" s="36"/>
      <c r="F171" s="491"/>
      <c r="G171" s="50"/>
      <c r="H171" s="36"/>
      <c r="I171" s="36"/>
      <c r="J171" s="36"/>
      <c r="L171" s="273"/>
      <c r="M171" s="273"/>
    </row>
    <row r="172" spans="1:14" x14ac:dyDescent="0.25">
      <c r="A172" s="107" t="s">
        <v>159</v>
      </c>
      <c r="B172" s="45"/>
      <c r="C172" s="45"/>
      <c r="D172" s="45" t="s">
        <v>40</v>
      </c>
      <c r="E172" s="36"/>
      <c r="F172" s="491"/>
      <c r="G172" s="50"/>
      <c r="H172" s="36"/>
      <c r="I172" s="36"/>
      <c r="J172" s="36"/>
      <c r="L172" s="273"/>
      <c r="M172" s="273"/>
    </row>
    <row r="173" spans="1:14" x14ac:dyDescent="0.25">
      <c r="A173" s="50" t="s">
        <v>160</v>
      </c>
      <c r="B173" s="9">
        <v>99064</v>
      </c>
      <c r="C173" s="10" t="s">
        <v>10</v>
      </c>
      <c r="D173" s="41" t="s">
        <v>41</v>
      </c>
      <c r="E173" s="46" t="s">
        <v>42</v>
      </c>
      <c r="F173" s="491">
        <f>MC!N354</f>
        <v>102.08</v>
      </c>
      <c r="G173" s="50">
        <v>0.49</v>
      </c>
      <c r="H173" s="419">
        <f t="shared" ref="H173:H176" si="105">G173*$G$5</f>
        <v>0.1</v>
      </c>
      <c r="I173" s="420">
        <f t="shared" ref="I173" si="106">G173+H173</f>
        <v>0.59</v>
      </c>
      <c r="J173" s="421">
        <f t="shared" ref="J173" si="107">I173*F173</f>
        <v>60.23</v>
      </c>
      <c r="L173" s="273"/>
      <c r="M173" s="273"/>
    </row>
    <row r="174" spans="1:14" ht="25.5" x14ac:dyDescent="0.25">
      <c r="A174" s="50" t="s">
        <v>161</v>
      </c>
      <c r="B174" s="18">
        <v>100577</v>
      </c>
      <c r="C174" s="18" t="s">
        <v>37</v>
      </c>
      <c r="D174" s="38" t="s">
        <v>38</v>
      </c>
      <c r="E174" s="40" t="s">
        <v>30</v>
      </c>
      <c r="F174" s="491">
        <f>MC!N357</f>
        <v>693.32</v>
      </c>
      <c r="G174" s="50">
        <v>0.8</v>
      </c>
      <c r="H174" s="419">
        <f t="shared" si="105"/>
        <v>0.17</v>
      </c>
      <c r="I174" s="420">
        <f t="shared" ref="I174:I176" si="108">G174+H174</f>
        <v>0.97</v>
      </c>
      <c r="J174" s="421">
        <f t="shared" ref="J174:J176" si="109">I174*F174</f>
        <v>672.52</v>
      </c>
      <c r="K174" s="108"/>
      <c r="L174" s="273"/>
      <c r="M174" s="273"/>
    </row>
    <row r="175" spans="1:14" ht="38.25" x14ac:dyDescent="0.25">
      <c r="A175" s="18" t="s">
        <v>162</v>
      </c>
      <c r="B175" s="818" t="s">
        <v>748</v>
      </c>
      <c r="C175" s="819"/>
      <c r="D175" s="11" t="s">
        <v>44</v>
      </c>
      <c r="E175" s="18" t="s">
        <v>30</v>
      </c>
      <c r="F175" s="489">
        <f>MC!N360</f>
        <v>693.32</v>
      </c>
      <c r="G175" s="302">
        <f>COMPOSIÇÕES!J82</f>
        <v>68.89</v>
      </c>
      <c r="H175" s="419">
        <f t="shared" si="105"/>
        <v>14.71</v>
      </c>
      <c r="I175" s="420">
        <f t="shared" si="108"/>
        <v>83.6</v>
      </c>
      <c r="J175" s="421">
        <f t="shared" si="109"/>
        <v>57961.55</v>
      </c>
      <c r="K175" s="108"/>
      <c r="L175" s="273"/>
      <c r="M175" s="273"/>
      <c r="N175" s="108"/>
    </row>
    <row r="176" spans="1:14" ht="63.75" x14ac:dyDescent="0.25">
      <c r="A176" s="50" t="s">
        <v>163</v>
      </c>
      <c r="B176" s="50">
        <v>94273</v>
      </c>
      <c r="C176" s="50" t="s">
        <v>10</v>
      </c>
      <c r="D176" s="39" t="s">
        <v>49</v>
      </c>
      <c r="E176" s="50" t="s">
        <v>42</v>
      </c>
      <c r="F176" s="491">
        <f>MC!N363</f>
        <v>222.96</v>
      </c>
      <c r="G176" s="61">
        <v>50.89</v>
      </c>
      <c r="H176" s="419">
        <f t="shared" si="105"/>
        <v>10.87</v>
      </c>
      <c r="I176" s="420">
        <f t="shared" si="108"/>
        <v>61.76</v>
      </c>
      <c r="J176" s="421">
        <f t="shared" si="109"/>
        <v>13770.01</v>
      </c>
      <c r="L176" s="273"/>
      <c r="M176" s="273"/>
    </row>
    <row r="177" spans="1:14" x14ac:dyDescent="0.25">
      <c r="A177" s="36"/>
      <c r="B177" s="36"/>
      <c r="C177" s="36"/>
      <c r="D177" s="36"/>
      <c r="E177" s="36"/>
      <c r="F177" s="491"/>
      <c r="G177" s="50"/>
      <c r="H177" s="36"/>
      <c r="I177" s="36"/>
      <c r="J177" s="36"/>
      <c r="L177" s="273"/>
      <c r="M177" s="273"/>
    </row>
    <row r="178" spans="1:14" x14ac:dyDescent="0.25">
      <c r="A178" s="37" t="s">
        <v>164</v>
      </c>
      <c r="B178" s="801" t="s">
        <v>455</v>
      </c>
      <c r="C178" s="802"/>
      <c r="D178" s="802"/>
      <c r="E178" s="802"/>
      <c r="F178" s="802"/>
      <c r="G178" s="802"/>
      <c r="H178" s="802"/>
      <c r="I178" s="803"/>
      <c r="J178" s="254">
        <f>SUM(J179:J205)</f>
        <v>119339.96</v>
      </c>
      <c r="L178" s="273"/>
      <c r="M178" s="273"/>
    </row>
    <row r="179" spans="1:14" x14ac:dyDescent="0.25">
      <c r="A179" s="44" t="s">
        <v>165</v>
      </c>
      <c r="B179" s="45"/>
      <c r="C179" s="45"/>
      <c r="D179" s="45" t="s">
        <v>33</v>
      </c>
      <c r="E179" s="36"/>
      <c r="F179" s="494"/>
      <c r="G179" s="50"/>
      <c r="H179" s="36"/>
      <c r="I179" s="36"/>
      <c r="J179" s="36"/>
      <c r="L179" s="273"/>
      <c r="M179" s="273"/>
    </row>
    <row r="180" spans="1:14" ht="25.5" x14ac:dyDescent="0.25">
      <c r="A180" s="50" t="s">
        <v>166</v>
      </c>
      <c r="B180" s="18">
        <v>101114</v>
      </c>
      <c r="C180" s="18" t="s">
        <v>10</v>
      </c>
      <c r="D180" s="48" t="s">
        <v>270</v>
      </c>
      <c r="E180" s="18" t="s">
        <v>34</v>
      </c>
      <c r="F180" s="495">
        <f>MC!N368</f>
        <v>160.35</v>
      </c>
      <c r="G180" s="50">
        <v>2.94</v>
      </c>
      <c r="H180" s="419">
        <f t="shared" ref="H180:H182" si="110">G180*$G$5</f>
        <v>0.63</v>
      </c>
      <c r="I180" s="420">
        <f t="shared" ref="I180" si="111">G180+H180</f>
        <v>3.57</v>
      </c>
      <c r="J180" s="421">
        <f t="shared" ref="J180" si="112">I180*F180</f>
        <v>572.45000000000005</v>
      </c>
      <c r="L180" s="273"/>
      <c r="M180" s="273"/>
    </row>
    <row r="181" spans="1:14" ht="51" x14ac:dyDescent="0.25">
      <c r="A181" s="50" t="s">
        <v>167</v>
      </c>
      <c r="B181" s="50">
        <v>100973</v>
      </c>
      <c r="C181" s="50" t="s">
        <v>10</v>
      </c>
      <c r="D181" s="41" t="s">
        <v>45</v>
      </c>
      <c r="E181" s="50" t="s">
        <v>34</v>
      </c>
      <c r="F181" s="495">
        <f>MC!N371</f>
        <v>200.44</v>
      </c>
      <c r="G181" s="50">
        <v>6.43</v>
      </c>
      <c r="H181" s="419">
        <f t="shared" si="110"/>
        <v>1.37</v>
      </c>
      <c r="I181" s="420">
        <f t="shared" ref="I181:I182" si="113">G181+H181</f>
        <v>7.8</v>
      </c>
      <c r="J181" s="421">
        <f t="shared" ref="J181:J182" si="114">I181*F181</f>
        <v>1563.43</v>
      </c>
      <c r="L181" s="273"/>
      <c r="M181" s="273"/>
    </row>
    <row r="182" spans="1:14" ht="38.25" x14ac:dyDescent="0.25">
      <c r="A182" s="50" t="s">
        <v>168</v>
      </c>
      <c r="B182" s="18">
        <v>95875</v>
      </c>
      <c r="C182" s="18" t="s">
        <v>10</v>
      </c>
      <c r="D182" s="49" t="s">
        <v>35</v>
      </c>
      <c r="E182" s="18" t="s">
        <v>36</v>
      </c>
      <c r="F182" s="495">
        <f>MC!N374</f>
        <v>1002.2</v>
      </c>
      <c r="G182" s="50">
        <v>1.75</v>
      </c>
      <c r="H182" s="419">
        <f t="shared" si="110"/>
        <v>0.37</v>
      </c>
      <c r="I182" s="420">
        <f t="shared" si="113"/>
        <v>2.12</v>
      </c>
      <c r="J182" s="421">
        <f t="shared" si="114"/>
        <v>2124.66</v>
      </c>
      <c r="L182" s="273"/>
      <c r="M182" s="273"/>
    </row>
    <row r="183" spans="1:14" x14ac:dyDescent="0.25">
      <c r="A183" s="36"/>
      <c r="B183" s="36"/>
      <c r="C183" s="36"/>
      <c r="D183" s="36"/>
      <c r="E183" s="36"/>
      <c r="F183" s="495"/>
      <c r="G183" s="50"/>
      <c r="H183" s="36"/>
      <c r="I183" s="36"/>
      <c r="J183" s="36"/>
      <c r="L183" s="273"/>
      <c r="M183" s="273"/>
    </row>
    <row r="184" spans="1:14" x14ac:dyDescent="0.25">
      <c r="A184" s="44" t="s">
        <v>169</v>
      </c>
      <c r="B184" s="45"/>
      <c r="C184" s="45"/>
      <c r="D184" s="45" t="s">
        <v>40</v>
      </c>
      <c r="E184" s="36"/>
      <c r="F184" s="495"/>
      <c r="G184" s="50"/>
      <c r="H184" s="36"/>
      <c r="I184" s="36"/>
      <c r="J184" s="36"/>
      <c r="L184" s="273"/>
      <c r="M184" s="273"/>
    </row>
    <row r="185" spans="1:14" x14ac:dyDescent="0.25">
      <c r="A185" s="50" t="s">
        <v>170</v>
      </c>
      <c r="B185" s="9">
        <v>99064</v>
      </c>
      <c r="C185" s="10" t="s">
        <v>10</v>
      </c>
      <c r="D185" s="41" t="s">
        <v>41</v>
      </c>
      <c r="E185" s="46" t="s">
        <v>42</v>
      </c>
      <c r="F185" s="495">
        <f>MC!N378</f>
        <v>267.25</v>
      </c>
      <c r="G185" s="50">
        <v>0.49</v>
      </c>
      <c r="H185" s="419">
        <f t="shared" ref="H185:H188" si="115">G185*$G$5</f>
        <v>0.1</v>
      </c>
      <c r="I185" s="420">
        <f t="shared" ref="I185" si="116">G185+H185</f>
        <v>0.59</v>
      </c>
      <c r="J185" s="421">
        <f t="shared" ref="J185" si="117">I185*F185</f>
        <v>157.68</v>
      </c>
      <c r="L185" s="273"/>
      <c r="M185" s="273"/>
    </row>
    <row r="186" spans="1:14" ht="25.5" x14ac:dyDescent="0.25">
      <c r="A186" s="50" t="s">
        <v>171</v>
      </c>
      <c r="B186" s="18">
        <v>100577</v>
      </c>
      <c r="C186" s="18" t="s">
        <v>37</v>
      </c>
      <c r="D186" s="38" t="s">
        <v>38</v>
      </c>
      <c r="E186" s="40" t="s">
        <v>30</v>
      </c>
      <c r="F186" s="495">
        <f>MC!N381</f>
        <v>667.5</v>
      </c>
      <c r="G186" s="50">
        <v>0.8</v>
      </c>
      <c r="H186" s="419">
        <f t="shared" si="115"/>
        <v>0.17</v>
      </c>
      <c r="I186" s="420">
        <f t="shared" ref="I186:I188" si="118">G186+H186</f>
        <v>0.97</v>
      </c>
      <c r="J186" s="421">
        <f t="shared" ref="J186:J188" si="119">I186*F186</f>
        <v>647.48</v>
      </c>
      <c r="K186" s="108"/>
      <c r="L186" s="273"/>
      <c r="M186" s="273"/>
    </row>
    <row r="187" spans="1:14" ht="38.25" x14ac:dyDescent="0.25">
      <c r="A187" s="18" t="s">
        <v>172</v>
      </c>
      <c r="B187" s="818" t="s">
        <v>748</v>
      </c>
      <c r="C187" s="819"/>
      <c r="D187" s="11" t="s">
        <v>44</v>
      </c>
      <c r="E187" s="18" t="s">
        <v>30</v>
      </c>
      <c r="F187" s="496">
        <f>MC!N384</f>
        <v>667.5</v>
      </c>
      <c r="G187" s="302">
        <f>COMPOSIÇÕES!J82</f>
        <v>68.89</v>
      </c>
      <c r="H187" s="419">
        <f t="shared" si="115"/>
        <v>14.71</v>
      </c>
      <c r="I187" s="420">
        <f t="shared" si="118"/>
        <v>83.6</v>
      </c>
      <c r="J187" s="421">
        <f t="shared" si="119"/>
        <v>55803</v>
      </c>
      <c r="K187" s="108"/>
      <c r="L187" s="273"/>
      <c r="M187" s="273"/>
      <c r="N187" s="108"/>
    </row>
    <row r="188" spans="1:14" ht="63.75" x14ac:dyDescent="0.25">
      <c r="A188" s="50" t="s">
        <v>173</v>
      </c>
      <c r="B188" s="50">
        <v>94273</v>
      </c>
      <c r="C188" s="50" t="s">
        <v>10</v>
      </c>
      <c r="D188" s="39" t="s">
        <v>49</v>
      </c>
      <c r="E188" s="50" t="s">
        <v>42</v>
      </c>
      <c r="F188" s="495">
        <f>MC!N387</f>
        <v>623.36</v>
      </c>
      <c r="G188" s="61">
        <v>50.89</v>
      </c>
      <c r="H188" s="419">
        <f t="shared" si="115"/>
        <v>10.87</v>
      </c>
      <c r="I188" s="420">
        <f t="shared" si="118"/>
        <v>61.76</v>
      </c>
      <c r="J188" s="421">
        <f t="shared" si="119"/>
        <v>38498.71</v>
      </c>
      <c r="L188" s="273"/>
      <c r="M188" s="273"/>
    </row>
    <row r="189" spans="1:14" x14ac:dyDescent="0.25">
      <c r="A189" s="50"/>
      <c r="B189" s="50"/>
      <c r="C189" s="50"/>
      <c r="D189" s="39"/>
      <c r="E189" s="50"/>
      <c r="F189" s="495"/>
      <c r="G189" s="61"/>
      <c r="H189" s="13"/>
      <c r="I189" s="14"/>
      <c r="J189" s="15"/>
      <c r="L189" s="273"/>
      <c r="M189" s="273"/>
    </row>
    <row r="190" spans="1:14" x14ac:dyDescent="0.25">
      <c r="A190" s="107" t="s">
        <v>174</v>
      </c>
      <c r="B190" s="50"/>
      <c r="C190" s="50"/>
      <c r="D190" s="328" t="s">
        <v>47</v>
      </c>
      <c r="E190" s="50"/>
      <c r="F190" s="495"/>
      <c r="G190" s="61"/>
      <c r="H190" s="13"/>
      <c r="I190" s="14"/>
      <c r="J190" s="15"/>
      <c r="L190" s="273"/>
      <c r="M190" s="273"/>
    </row>
    <row r="191" spans="1:14" x14ac:dyDescent="0.25">
      <c r="A191" s="8" t="s">
        <v>175</v>
      </c>
      <c r="B191" s="343">
        <v>99063</v>
      </c>
      <c r="C191" s="8" t="s">
        <v>10</v>
      </c>
      <c r="D191" s="344" t="s">
        <v>48</v>
      </c>
      <c r="E191" s="8" t="s">
        <v>42</v>
      </c>
      <c r="F191" s="498">
        <f>MC!N391</f>
        <v>13.77</v>
      </c>
      <c r="G191" s="8">
        <v>4.01</v>
      </c>
      <c r="H191" s="419">
        <f t="shared" ref="H191:H203" si="120">G191*$G$5</f>
        <v>0.86</v>
      </c>
      <c r="I191" s="420">
        <f t="shared" ref="I191" si="121">G191+H191</f>
        <v>4.87</v>
      </c>
      <c r="J191" s="421">
        <f t="shared" ref="J191" si="122">I191*F191</f>
        <v>67.06</v>
      </c>
      <c r="L191" s="273"/>
      <c r="M191" s="273"/>
    </row>
    <row r="192" spans="1:14" ht="64.5" x14ac:dyDescent="0.25">
      <c r="A192" s="8" t="s">
        <v>176</v>
      </c>
      <c r="B192" s="50">
        <v>90082</v>
      </c>
      <c r="C192" s="50" t="s">
        <v>10</v>
      </c>
      <c r="D192" s="47" t="s">
        <v>50</v>
      </c>
      <c r="E192" s="50" t="s">
        <v>34</v>
      </c>
      <c r="F192" s="498">
        <f>MC!N394</f>
        <v>30.98</v>
      </c>
      <c r="G192" s="487">
        <v>7.9</v>
      </c>
      <c r="H192" s="419">
        <f t="shared" si="120"/>
        <v>1.69</v>
      </c>
      <c r="I192" s="420">
        <f t="shared" ref="I192:I203" si="123">G192+H192</f>
        <v>9.59</v>
      </c>
      <c r="J192" s="421">
        <f t="shared" ref="J192:J203" si="124">I192*F192</f>
        <v>297.10000000000002</v>
      </c>
      <c r="L192" s="273"/>
      <c r="M192" s="273"/>
    </row>
    <row r="193" spans="1:13" ht="64.5" x14ac:dyDescent="0.25">
      <c r="A193" s="8" t="s">
        <v>615</v>
      </c>
      <c r="B193" s="50">
        <v>90084</v>
      </c>
      <c r="C193" s="50" t="s">
        <v>10</v>
      </c>
      <c r="D193" s="47" t="s">
        <v>51</v>
      </c>
      <c r="E193" s="50" t="s">
        <v>34</v>
      </c>
      <c r="F193" s="498">
        <f>MC!N397</f>
        <v>4.17</v>
      </c>
      <c r="G193" s="8">
        <v>7.65</v>
      </c>
      <c r="H193" s="419">
        <f t="shared" si="120"/>
        <v>1.63</v>
      </c>
      <c r="I193" s="420">
        <f t="shared" si="123"/>
        <v>9.2799999999999994</v>
      </c>
      <c r="J193" s="421">
        <f t="shared" si="124"/>
        <v>38.700000000000003</v>
      </c>
      <c r="L193" s="273"/>
      <c r="M193" s="273"/>
    </row>
    <row r="194" spans="1:13" ht="51.75" x14ac:dyDescent="0.25">
      <c r="A194" s="8" t="s">
        <v>616</v>
      </c>
      <c r="B194" s="106">
        <v>92210</v>
      </c>
      <c r="C194" s="9" t="s">
        <v>10</v>
      </c>
      <c r="D194" s="342" t="s">
        <v>266</v>
      </c>
      <c r="E194" s="9" t="s">
        <v>42</v>
      </c>
      <c r="F194" s="498">
        <f>MC!N400</f>
        <v>13.77</v>
      </c>
      <c r="G194" s="8">
        <v>107.62</v>
      </c>
      <c r="H194" s="419">
        <f t="shared" si="120"/>
        <v>22.98</v>
      </c>
      <c r="I194" s="420">
        <f t="shared" si="123"/>
        <v>130.6</v>
      </c>
      <c r="J194" s="421">
        <f t="shared" si="124"/>
        <v>1798.36</v>
      </c>
      <c r="L194" s="273"/>
      <c r="M194" s="273"/>
    </row>
    <row r="195" spans="1:13" ht="39" x14ac:dyDescent="0.25">
      <c r="A195" s="8" t="s">
        <v>617</v>
      </c>
      <c r="B195" s="343">
        <v>101620</v>
      </c>
      <c r="C195" s="8" t="s">
        <v>10</v>
      </c>
      <c r="D195" s="345" t="s">
        <v>53</v>
      </c>
      <c r="E195" s="8" t="s">
        <v>34</v>
      </c>
      <c r="F195" s="498">
        <f>MC!N403</f>
        <v>3.1</v>
      </c>
      <c r="G195" s="8">
        <v>155.78</v>
      </c>
      <c r="H195" s="419">
        <f t="shared" si="120"/>
        <v>33.26</v>
      </c>
      <c r="I195" s="420">
        <f t="shared" si="123"/>
        <v>189.04</v>
      </c>
      <c r="J195" s="421">
        <f t="shared" si="124"/>
        <v>586.02</v>
      </c>
      <c r="L195" s="273"/>
      <c r="M195" s="273"/>
    </row>
    <row r="196" spans="1:13" ht="26.25" x14ac:dyDescent="0.25">
      <c r="A196" s="8" t="s">
        <v>618</v>
      </c>
      <c r="B196" s="106">
        <v>93382</v>
      </c>
      <c r="C196" s="9" t="s">
        <v>10</v>
      </c>
      <c r="D196" s="342" t="s">
        <v>271</v>
      </c>
      <c r="E196" s="9" t="s">
        <v>34</v>
      </c>
      <c r="F196" s="498">
        <f>MC!N406</f>
        <v>29.35</v>
      </c>
      <c r="G196" s="8">
        <v>22.91</v>
      </c>
      <c r="H196" s="419">
        <f t="shared" si="120"/>
        <v>4.8899999999999997</v>
      </c>
      <c r="I196" s="420">
        <f t="shared" si="123"/>
        <v>27.8</v>
      </c>
      <c r="J196" s="421">
        <f t="shared" si="124"/>
        <v>815.93</v>
      </c>
      <c r="L196" s="273"/>
      <c r="M196" s="273"/>
    </row>
    <row r="197" spans="1:13" ht="51" x14ac:dyDescent="0.25">
      <c r="A197" s="8" t="s">
        <v>619</v>
      </c>
      <c r="B197" s="106">
        <v>100973</v>
      </c>
      <c r="C197" s="9" t="s">
        <v>10</v>
      </c>
      <c r="D197" s="56" t="s">
        <v>45</v>
      </c>
      <c r="E197" s="9" t="s">
        <v>34</v>
      </c>
      <c r="F197" s="498">
        <f>MC!N409</f>
        <v>5.8</v>
      </c>
      <c r="G197" s="8">
        <v>6.43</v>
      </c>
      <c r="H197" s="419">
        <f t="shared" si="120"/>
        <v>1.37</v>
      </c>
      <c r="I197" s="420">
        <f t="shared" si="123"/>
        <v>7.8</v>
      </c>
      <c r="J197" s="421">
        <f t="shared" si="124"/>
        <v>45.24</v>
      </c>
      <c r="L197" s="273"/>
      <c r="M197" s="273"/>
    </row>
    <row r="198" spans="1:13" ht="25.5" x14ac:dyDescent="0.25">
      <c r="A198" s="8" t="s">
        <v>620</v>
      </c>
      <c r="B198" s="343">
        <v>97913</v>
      </c>
      <c r="C198" s="9" t="s">
        <v>10</v>
      </c>
      <c r="D198" s="346" t="s">
        <v>54</v>
      </c>
      <c r="E198" s="8" t="s">
        <v>55</v>
      </c>
      <c r="F198" s="498">
        <f>MC!N412</f>
        <v>36.25</v>
      </c>
      <c r="G198" s="8">
        <v>2.2799999999999998</v>
      </c>
      <c r="H198" s="419">
        <f t="shared" si="120"/>
        <v>0.49</v>
      </c>
      <c r="I198" s="420">
        <f t="shared" si="123"/>
        <v>2.77</v>
      </c>
      <c r="J198" s="421">
        <f t="shared" si="124"/>
        <v>100.41</v>
      </c>
      <c r="L198" s="273"/>
      <c r="M198" s="273"/>
    </row>
    <row r="199" spans="1:13" ht="38.25" x14ac:dyDescent="0.25">
      <c r="A199" s="8" t="s">
        <v>621</v>
      </c>
      <c r="B199" s="106">
        <v>101572</v>
      </c>
      <c r="C199" s="9" t="s">
        <v>10</v>
      </c>
      <c r="D199" s="104" t="s">
        <v>275</v>
      </c>
      <c r="E199" s="347" t="s">
        <v>30</v>
      </c>
      <c r="F199" s="498">
        <f>MC!N415</f>
        <v>42.73</v>
      </c>
      <c r="G199" s="8">
        <v>13.11</v>
      </c>
      <c r="H199" s="419">
        <f t="shared" si="120"/>
        <v>2.8</v>
      </c>
      <c r="I199" s="420">
        <f t="shared" si="123"/>
        <v>15.91</v>
      </c>
      <c r="J199" s="421">
        <f t="shared" si="124"/>
        <v>679.83</v>
      </c>
      <c r="L199" s="273"/>
      <c r="M199" s="273"/>
    </row>
    <row r="200" spans="1:13" ht="39" x14ac:dyDescent="0.25">
      <c r="A200" s="8" t="s">
        <v>622</v>
      </c>
      <c r="B200" s="343">
        <v>99241</v>
      </c>
      <c r="C200" s="9" t="s">
        <v>10</v>
      </c>
      <c r="D200" s="345" t="s">
        <v>58</v>
      </c>
      <c r="E200" s="8" t="s">
        <v>42</v>
      </c>
      <c r="F200" s="498">
        <f>MC!N418</f>
        <v>1.2</v>
      </c>
      <c r="G200" s="8">
        <v>1218.05</v>
      </c>
      <c r="H200" s="419">
        <f t="shared" si="120"/>
        <v>260.05</v>
      </c>
      <c r="I200" s="420">
        <f t="shared" si="123"/>
        <v>1478.1</v>
      </c>
      <c r="J200" s="421">
        <f t="shared" si="124"/>
        <v>1773.72</v>
      </c>
      <c r="L200" s="273"/>
      <c r="M200" s="273"/>
    </row>
    <row r="201" spans="1:13" ht="39" x14ac:dyDescent="0.25">
      <c r="A201" s="8" t="s">
        <v>623</v>
      </c>
      <c r="B201" s="343">
        <v>97961</v>
      </c>
      <c r="C201" s="9" t="s">
        <v>10</v>
      </c>
      <c r="D201" s="345" t="s">
        <v>273</v>
      </c>
      <c r="E201" s="8" t="s">
        <v>57</v>
      </c>
      <c r="F201" s="498">
        <f>MC!N421</f>
        <v>2</v>
      </c>
      <c r="G201" s="8">
        <v>1668.77</v>
      </c>
      <c r="H201" s="419">
        <f t="shared" si="120"/>
        <v>356.28</v>
      </c>
      <c r="I201" s="420">
        <f t="shared" si="123"/>
        <v>2025.05</v>
      </c>
      <c r="J201" s="421">
        <f t="shared" si="124"/>
        <v>4050.1</v>
      </c>
      <c r="L201" s="273"/>
      <c r="M201" s="273"/>
    </row>
    <row r="202" spans="1:13" ht="39" x14ac:dyDescent="0.25">
      <c r="A202" s="8" t="s">
        <v>624</v>
      </c>
      <c r="B202" s="106">
        <v>97973</v>
      </c>
      <c r="C202" s="9" t="s">
        <v>10</v>
      </c>
      <c r="D202" s="342" t="s">
        <v>445</v>
      </c>
      <c r="E202" s="9" t="s">
        <v>57</v>
      </c>
      <c r="F202" s="498">
        <f>MC!N424</f>
        <v>2</v>
      </c>
      <c r="G202" s="8">
        <v>3194.57</v>
      </c>
      <c r="H202" s="419">
        <f t="shared" si="120"/>
        <v>682.04</v>
      </c>
      <c r="I202" s="420">
        <f t="shared" si="123"/>
        <v>3876.61</v>
      </c>
      <c r="J202" s="421">
        <f t="shared" si="124"/>
        <v>7753.22</v>
      </c>
      <c r="L202" s="273"/>
      <c r="M202" s="273"/>
    </row>
    <row r="203" spans="1:13" ht="39" x14ac:dyDescent="0.25">
      <c r="A203" s="8" t="s">
        <v>625</v>
      </c>
      <c r="B203" s="828" t="s">
        <v>835</v>
      </c>
      <c r="C203" s="829"/>
      <c r="D203" s="342" t="s">
        <v>274</v>
      </c>
      <c r="E203" s="9" t="s">
        <v>57</v>
      </c>
      <c r="F203" s="498">
        <f>MC!N427</f>
        <v>2</v>
      </c>
      <c r="G203" s="9">
        <f>COMPOSIÇÕES!J92</f>
        <v>810.41</v>
      </c>
      <c r="H203" s="419">
        <f t="shared" si="120"/>
        <v>173.02</v>
      </c>
      <c r="I203" s="420">
        <f t="shared" si="123"/>
        <v>983.43</v>
      </c>
      <c r="J203" s="421">
        <f t="shared" si="124"/>
        <v>1966.86</v>
      </c>
      <c r="L203" s="273"/>
      <c r="M203" s="273"/>
    </row>
    <row r="204" spans="1:13" x14ac:dyDescent="0.25">
      <c r="A204" s="107"/>
      <c r="B204" s="50"/>
      <c r="C204" s="50"/>
      <c r="D204" s="328"/>
      <c r="E204" s="50"/>
      <c r="F204" s="495"/>
      <c r="G204" s="61"/>
      <c r="H204" s="13"/>
      <c r="I204" s="14"/>
      <c r="J204" s="15"/>
      <c r="L204" s="273"/>
      <c r="M204" s="273"/>
    </row>
    <row r="205" spans="1:13" x14ac:dyDescent="0.25">
      <c r="A205" s="830" t="s">
        <v>462</v>
      </c>
      <c r="B205" s="831"/>
      <c r="C205" s="831"/>
      <c r="D205" s="831"/>
      <c r="E205" s="831"/>
      <c r="F205" s="831"/>
      <c r="G205" s="831"/>
      <c r="H205" s="831"/>
      <c r="I205" s="831"/>
      <c r="J205" s="832"/>
      <c r="L205" s="273"/>
      <c r="M205" s="273"/>
    </row>
    <row r="206" spans="1:13" x14ac:dyDescent="0.25">
      <c r="A206" s="37" t="s">
        <v>315</v>
      </c>
      <c r="B206" s="801" t="s">
        <v>456</v>
      </c>
      <c r="C206" s="802"/>
      <c r="D206" s="802"/>
      <c r="E206" s="802"/>
      <c r="F206" s="802"/>
      <c r="G206" s="802"/>
      <c r="H206" s="802"/>
      <c r="I206" s="803"/>
      <c r="J206" s="254">
        <f>SUM(J207:J220)</f>
        <v>392138.64</v>
      </c>
      <c r="L206" s="273"/>
      <c r="M206" s="273"/>
    </row>
    <row r="207" spans="1:13" x14ac:dyDescent="0.25">
      <c r="A207" s="44" t="s">
        <v>316</v>
      </c>
      <c r="B207" s="45"/>
      <c r="C207" s="45"/>
      <c r="D207" s="45" t="s">
        <v>33</v>
      </c>
      <c r="E207" s="36"/>
      <c r="F207" s="494"/>
      <c r="G207" s="50"/>
      <c r="H207" s="36"/>
      <c r="I207" s="36"/>
      <c r="J207" s="36"/>
      <c r="L207" s="273"/>
      <c r="M207" s="273"/>
    </row>
    <row r="208" spans="1:13" ht="25.5" x14ac:dyDescent="0.25">
      <c r="A208" s="50" t="s">
        <v>317</v>
      </c>
      <c r="B208" s="18">
        <v>101114</v>
      </c>
      <c r="C208" s="18" t="s">
        <v>10</v>
      </c>
      <c r="D208" s="48" t="s">
        <v>270</v>
      </c>
      <c r="E208" s="18" t="s">
        <v>34</v>
      </c>
      <c r="F208" s="495">
        <f>MC!N433</f>
        <v>293.08999999999997</v>
      </c>
      <c r="G208" s="50">
        <v>2.94</v>
      </c>
      <c r="H208" s="419">
        <f t="shared" ref="H208:H210" si="125">G208*$G$5</f>
        <v>0.63</v>
      </c>
      <c r="I208" s="420">
        <f t="shared" ref="I208" si="126">G208+H208</f>
        <v>3.57</v>
      </c>
      <c r="J208" s="421">
        <f t="shared" ref="J208" si="127">I208*F208</f>
        <v>1046.33</v>
      </c>
      <c r="L208" s="273"/>
      <c r="M208" s="273"/>
    </row>
    <row r="209" spans="1:14" ht="51" x14ac:dyDescent="0.25">
      <c r="A209" s="50" t="s">
        <v>318</v>
      </c>
      <c r="B209" s="50">
        <v>100973</v>
      </c>
      <c r="C209" s="50" t="s">
        <v>10</v>
      </c>
      <c r="D209" s="41" t="s">
        <v>45</v>
      </c>
      <c r="E209" s="50" t="s">
        <v>34</v>
      </c>
      <c r="F209" s="495">
        <f>MC!N436</f>
        <v>366.36</v>
      </c>
      <c r="G209" s="50">
        <v>6.43</v>
      </c>
      <c r="H209" s="419">
        <f t="shared" si="125"/>
        <v>1.37</v>
      </c>
      <c r="I209" s="420">
        <f t="shared" ref="I209:I210" si="128">G209+H209</f>
        <v>7.8</v>
      </c>
      <c r="J209" s="421">
        <f t="shared" ref="J209:J210" si="129">I209*F209</f>
        <v>2857.61</v>
      </c>
      <c r="L209" s="273"/>
      <c r="M209" s="273"/>
    </row>
    <row r="210" spans="1:14" ht="38.25" x14ac:dyDescent="0.25">
      <c r="A210" s="50" t="s">
        <v>319</v>
      </c>
      <c r="B210" s="18">
        <v>95875</v>
      </c>
      <c r="C210" s="18" t="s">
        <v>10</v>
      </c>
      <c r="D210" s="49" t="s">
        <v>35</v>
      </c>
      <c r="E210" s="18" t="s">
        <v>36</v>
      </c>
      <c r="F210" s="495">
        <f>MC!N439</f>
        <v>1831.8</v>
      </c>
      <c r="G210" s="50">
        <v>1.75</v>
      </c>
      <c r="H210" s="419">
        <f t="shared" si="125"/>
        <v>0.37</v>
      </c>
      <c r="I210" s="420">
        <f t="shared" si="128"/>
        <v>2.12</v>
      </c>
      <c r="J210" s="421">
        <f t="shared" si="129"/>
        <v>3883.42</v>
      </c>
      <c r="L210" s="273"/>
      <c r="M210" s="273"/>
    </row>
    <row r="211" spans="1:14" x14ac:dyDescent="0.25">
      <c r="A211" s="36"/>
      <c r="B211" s="36"/>
      <c r="C211" s="36"/>
      <c r="D211" s="36"/>
      <c r="E211" s="36"/>
      <c r="F211" s="495"/>
      <c r="G211" s="50"/>
      <c r="H211" s="36"/>
      <c r="I211" s="36"/>
      <c r="J211" s="36"/>
      <c r="L211" s="273"/>
      <c r="M211" s="273"/>
    </row>
    <row r="212" spans="1:14" x14ac:dyDescent="0.25">
      <c r="A212" s="44" t="s">
        <v>320</v>
      </c>
      <c r="B212" s="45"/>
      <c r="C212" s="45"/>
      <c r="D212" s="45" t="s">
        <v>40</v>
      </c>
      <c r="E212" s="36"/>
      <c r="F212" s="495"/>
      <c r="G212" s="50"/>
      <c r="H212" s="36"/>
      <c r="I212" s="36"/>
      <c r="J212" s="36"/>
      <c r="L212" s="273"/>
      <c r="M212" s="273"/>
    </row>
    <row r="213" spans="1:14" x14ac:dyDescent="0.25">
      <c r="A213" s="50" t="s">
        <v>321</v>
      </c>
      <c r="B213" s="9">
        <v>99064</v>
      </c>
      <c r="C213" s="10" t="s">
        <v>10</v>
      </c>
      <c r="D213" s="41" t="s">
        <v>41</v>
      </c>
      <c r="E213" s="46" t="s">
        <v>42</v>
      </c>
      <c r="F213" s="495">
        <f>MC!N443</f>
        <v>488.49</v>
      </c>
      <c r="G213" s="50">
        <v>0.49</v>
      </c>
      <c r="H213" s="419">
        <f t="shared" ref="H213:H216" si="130">G213*$G$5</f>
        <v>0.1</v>
      </c>
      <c r="I213" s="420">
        <f t="shared" ref="I213" si="131">G213+H213</f>
        <v>0.59</v>
      </c>
      <c r="J213" s="421">
        <f t="shared" ref="J213" si="132">I213*F213</f>
        <v>288.20999999999998</v>
      </c>
      <c r="L213" s="273"/>
      <c r="M213" s="273"/>
    </row>
    <row r="214" spans="1:14" ht="25.5" x14ac:dyDescent="0.25">
      <c r="A214" s="50" t="s">
        <v>322</v>
      </c>
      <c r="B214" s="18">
        <v>100577</v>
      </c>
      <c r="C214" s="18" t="s">
        <v>37</v>
      </c>
      <c r="D214" s="38" t="s">
        <v>38</v>
      </c>
      <c r="E214" s="40" t="s">
        <v>30</v>
      </c>
      <c r="F214" s="495">
        <f>MC!N446</f>
        <v>3583.35</v>
      </c>
      <c r="G214" s="50">
        <v>0.8</v>
      </c>
      <c r="H214" s="419">
        <f t="shared" si="130"/>
        <v>0.17</v>
      </c>
      <c r="I214" s="420">
        <f t="shared" ref="I214:I216" si="133">G214+H214</f>
        <v>0.97</v>
      </c>
      <c r="J214" s="421">
        <f t="shared" ref="J214:J216" si="134">I214*F214</f>
        <v>3475.85</v>
      </c>
      <c r="K214" s="108"/>
      <c r="L214" s="273"/>
      <c r="M214" s="273"/>
    </row>
    <row r="215" spans="1:14" ht="38.25" x14ac:dyDescent="0.25">
      <c r="A215" s="18" t="s">
        <v>323</v>
      </c>
      <c r="B215" s="818" t="s">
        <v>748</v>
      </c>
      <c r="C215" s="819"/>
      <c r="D215" s="11" t="s">
        <v>44</v>
      </c>
      <c r="E215" s="18" t="s">
        <v>30</v>
      </c>
      <c r="F215" s="496">
        <f>MC!N449</f>
        <v>3583.35</v>
      </c>
      <c r="G215" s="302">
        <f>COMPOSIÇÕES!J82</f>
        <v>68.89</v>
      </c>
      <c r="H215" s="419">
        <f t="shared" si="130"/>
        <v>14.71</v>
      </c>
      <c r="I215" s="420">
        <f t="shared" si="133"/>
        <v>83.6</v>
      </c>
      <c r="J215" s="421">
        <f t="shared" si="134"/>
        <v>299568.06</v>
      </c>
      <c r="K215" s="108"/>
      <c r="L215" s="273"/>
      <c r="M215" s="273"/>
      <c r="N215" s="108"/>
    </row>
    <row r="216" spans="1:14" ht="63.75" x14ac:dyDescent="0.25">
      <c r="A216" s="50" t="s">
        <v>324</v>
      </c>
      <c r="B216" s="50">
        <v>94273</v>
      </c>
      <c r="C216" s="50" t="s">
        <v>10</v>
      </c>
      <c r="D216" s="39" t="s">
        <v>49</v>
      </c>
      <c r="E216" s="50" t="s">
        <v>42</v>
      </c>
      <c r="F216" s="495">
        <f>MC!N452</f>
        <v>1039.29</v>
      </c>
      <c r="G216" s="61">
        <v>50.89</v>
      </c>
      <c r="H216" s="419">
        <f t="shared" si="130"/>
        <v>10.87</v>
      </c>
      <c r="I216" s="420">
        <f t="shared" si="133"/>
        <v>61.76</v>
      </c>
      <c r="J216" s="421">
        <f t="shared" si="134"/>
        <v>64186.55</v>
      </c>
      <c r="L216" s="273"/>
      <c r="M216" s="273"/>
    </row>
    <row r="217" spans="1:14" ht="12.6" customHeight="1" x14ac:dyDescent="0.25">
      <c r="A217" s="50"/>
      <c r="B217" s="50"/>
      <c r="C217" s="50"/>
      <c r="D217" s="39"/>
      <c r="E217" s="50"/>
      <c r="F217" s="495"/>
      <c r="G217" s="61"/>
      <c r="H217" s="13"/>
      <c r="I217" s="14"/>
      <c r="J217" s="15"/>
      <c r="L217" s="273"/>
      <c r="M217" s="273"/>
    </row>
    <row r="218" spans="1:14" x14ac:dyDescent="0.25">
      <c r="A218" s="44" t="s">
        <v>325</v>
      </c>
      <c r="B218" s="45"/>
      <c r="C218" s="45"/>
      <c r="D218" s="45" t="s">
        <v>471</v>
      </c>
      <c r="E218" s="50"/>
      <c r="F218" s="495"/>
      <c r="G218" s="61"/>
      <c r="H218" s="13"/>
      <c r="I218" s="14"/>
      <c r="J218" s="15"/>
      <c r="L218" s="273"/>
      <c r="M218" s="273"/>
    </row>
    <row r="219" spans="1:14" ht="39" x14ac:dyDescent="0.25">
      <c r="A219" s="8" t="s">
        <v>326</v>
      </c>
      <c r="B219" s="343">
        <v>99241</v>
      </c>
      <c r="C219" s="9" t="s">
        <v>10</v>
      </c>
      <c r="D219" s="345" t="s">
        <v>58</v>
      </c>
      <c r="E219" s="8" t="s">
        <v>42</v>
      </c>
      <c r="F219" s="498">
        <f>MC!N456</f>
        <v>5.4</v>
      </c>
      <c r="G219" s="8">
        <v>1218.05</v>
      </c>
      <c r="H219" s="419">
        <f t="shared" ref="H219:H220" si="135">G219*$G$5</f>
        <v>260.05</v>
      </c>
      <c r="I219" s="420">
        <f t="shared" ref="I219" si="136">G219+H219</f>
        <v>1478.1</v>
      </c>
      <c r="J219" s="421">
        <f t="shared" ref="J219" si="137">I219*F219</f>
        <v>7981.74</v>
      </c>
      <c r="L219" s="273"/>
      <c r="M219" s="273"/>
    </row>
    <row r="220" spans="1:14" ht="38.25" x14ac:dyDescent="0.25">
      <c r="A220" s="8" t="s">
        <v>327</v>
      </c>
      <c r="B220" s="828" t="s">
        <v>835</v>
      </c>
      <c r="C220" s="829"/>
      <c r="D220" s="56" t="s">
        <v>274</v>
      </c>
      <c r="E220" s="9" t="s">
        <v>57</v>
      </c>
      <c r="F220" s="498">
        <f>MC!N459</f>
        <v>9</v>
      </c>
      <c r="G220" s="9">
        <f>COMPOSIÇÕES!J92</f>
        <v>810.41</v>
      </c>
      <c r="H220" s="419">
        <f t="shared" si="135"/>
        <v>173.02</v>
      </c>
      <c r="I220" s="420">
        <f t="shared" ref="I220" si="138">G220+H220</f>
        <v>983.43</v>
      </c>
      <c r="J220" s="421">
        <f t="shared" ref="J220" si="139">I220*F220</f>
        <v>8850.8700000000008</v>
      </c>
      <c r="L220" s="273"/>
      <c r="M220" s="273"/>
    </row>
    <row r="221" spans="1:14" x14ac:dyDescent="0.25">
      <c r="A221" s="50"/>
      <c r="B221" s="50"/>
      <c r="C221" s="50"/>
      <c r="D221" s="39"/>
      <c r="E221" s="50"/>
      <c r="F221" s="495"/>
      <c r="G221" s="61"/>
      <c r="H221" s="13"/>
      <c r="I221" s="14"/>
      <c r="J221" s="15"/>
      <c r="L221" s="273"/>
      <c r="M221" s="273"/>
    </row>
    <row r="222" spans="1:14" x14ac:dyDescent="0.25">
      <c r="A222" s="833" t="s">
        <v>463</v>
      </c>
      <c r="B222" s="834"/>
      <c r="C222" s="834"/>
      <c r="D222" s="834"/>
      <c r="E222" s="834"/>
      <c r="F222" s="834"/>
      <c r="G222" s="834"/>
      <c r="H222" s="834"/>
      <c r="I222" s="834"/>
      <c r="J222" s="835"/>
      <c r="L222" s="273"/>
      <c r="M222" s="273"/>
    </row>
    <row r="223" spans="1:14" x14ac:dyDescent="0.25">
      <c r="A223" s="293" t="s">
        <v>329</v>
      </c>
      <c r="B223" s="825" t="s">
        <v>446</v>
      </c>
      <c r="C223" s="826"/>
      <c r="D223" s="826"/>
      <c r="E223" s="826"/>
      <c r="F223" s="826"/>
      <c r="G223" s="826"/>
      <c r="H223" s="826"/>
      <c r="I223" s="827"/>
      <c r="J223" s="294">
        <f>SUM(J224:J249)</f>
        <v>1066133.72</v>
      </c>
      <c r="L223" s="273"/>
      <c r="M223" s="273"/>
    </row>
    <row r="224" spans="1:14" x14ac:dyDescent="0.25">
      <c r="A224" s="295" t="s">
        <v>330</v>
      </c>
      <c r="B224" s="296"/>
      <c r="C224" s="296"/>
      <c r="D224" s="296" t="s">
        <v>33</v>
      </c>
      <c r="E224" s="297"/>
      <c r="F224" s="499"/>
      <c r="G224" s="288"/>
      <c r="H224" s="297"/>
      <c r="I224" s="297"/>
      <c r="J224" s="297"/>
      <c r="L224" s="273"/>
      <c r="M224" s="273"/>
    </row>
    <row r="225" spans="1:14" ht="25.5" x14ac:dyDescent="0.25">
      <c r="A225" s="288" t="s">
        <v>331</v>
      </c>
      <c r="B225" s="18">
        <v>101114</v>
      </c>
      <c r="C225" s="18" t="s">
        <v>10</v>
      </c>
      <c r="D225" s="48" t="s">
        <v>270</v>
      </c>
      <c r="E225" s="18" t="s">
        <v>34</v>
      </c>
      <c r="F225" s="500">
        <f>MC!N465</f>
        <v>14</v>
      </c>
      <c r="G225" s="50">
        <v>2.94</v>
      </c>
      <c r="H225" s="419">
        <f t="shared" ref="H225:H227" si="140">G225*$G$5</f>
        <v>0.63</v>
      </c>
      <c r="I225" s="420">
        <f t="shared" ref="I225" si="141">G225+H225</f>
        <v>3.57</v>
      </c>
      <c r="J225" s="421">
        <f t="shared" ref="J225" si="142">I225*F225</f>
        <v>49.98</v>
      </c>
      <c r="L225" s="273"/>
      <c r="M225" s="273"/>
    </row>
    <row r="226" spans="1:14" ht="51" x14ac:dyDescent="0.25">
      <c r="A226" s="414" t="s">
        <v>332</v>
      </c>
      <c r="B226" s="288">
        <v>100973</v>
      </c>
      <c r="C226" s="288" t="s">
        <v>10</v>
      </c>
      <c r="D226" s="41" t="s">
        <v>45</v>
      </c>
      <c r="E226" s="288" t="s">
        <v>34</v>
      </c>
      <c r="F226" s="500">
        <f>MC!N468</f>
        <v>17.5</v>
      </c>
      <c r="G226" s="50">
        <v>6.43</v>
      </c>
      <c r="H226" s="419">
        <f t="shared" si="140"/>
        <v>1.37</v>
      </c>
      <c r="I226" s="420">
        <f t="shared" ref="I226:I227" si="143">G226+H226</f>
        <v>7.8</v>
      </c>
      <c r="J226" s="421">
        <f t="shared" ref="J226:J227" si="144">I226*F226</f>
        <v>136.5</v>
      </c>
      <c r="L226" s="273"/>
      <c r="M226" s="273"/>
    </row>
    <row r="227" spans="1:14" ht="38.25" x14ac:dyDescent="0.25">
      <c r="A227" s="414" t="s">
        <v>333</v>
      </c>
      <c r="B227" s="18">
        <v>95875</v>
      </c>
      <c r="C227" s="18" t="s">
        <v>10</v>
      </c>
      <c r="D227" s="49" t="s">
        <v>35</v>
      </c>
      <c r="E227" s="18" t="s">
        <v>36</v>
      </c>
      <c r="F227" s="500">
        <f>MC!N471</f>
        <v>87.5</v>
      </c>
      <c r="G227" s="50">
        <v>1.75</v>
      </c>
      <c r="H227" s="419">
        <f t="shared" si="140"/>
        <v>0.37</v>
      </c>
      <c r="I227" s="420">
        <f t="shared" si="143"/>
        <v>2.12</v>
      </c>
      <c r="J227" s="421">
        <f t="shared" si="144"/>
        <v>185.5</v>
      </c>
      <c r="L227" s="273"/>
      <c r="M227" s="273"/>
    </row>
    <row r="228" spans="1:14" x14ac:dyDescent="0.25">
      <c r="A228" s="297"/>
      <c r="B228" s="297"/>
      <c r="C228" s="297"/>
      <c r="D228" s="297"/>
      <c r="E228" s="297"/>
      <c r="F228" s="500"/>
      <c r="G228" s="50"/>
      <c r="H228" s="297"/>
      <c r="I228" s="297"/>
      <c r="J228" s="297"/>
      <c r="L228" s="273"/>
      <c r="M228" s="273"/>
    </row>
    <row r="229" spans="1:14" x14ac:dyDescent="0.25">
      <c r="A229" s="295" t="s">
        <v>334</v>
      </c>
      <c r="B229" s="296"/>
      <c r="C229" s="296"/>
      <c r="D229" s="296" t="s">
        <v>40</v>
      </c>
      <c r="E229" s="297"/>
      <c r="F229" s="500"/>
      <c r="G229" s="50"/>
      <c r="H229" s="297"/>
      <c r="I229" s="297"/>
      <c r="J229" s="297"/>
      <c r="L229" s="273"/>
      <c r="M229" s="273"/>
    </row>
    <row r="230" spans="1:14" x14ac:dyDescent="0.25">
      <c r="A230" s="288" t="s">
        <v>335</v>
      </c>
      <c r="B230" s="9">
        <v>99064</v>
      </c>
      <c r="C230" s="10" t="s">
        <v>10</v>
      </c>
      <c r="D230" s="41" t="s">
        <v>41</v>
      </c>
      <c r="E230" s="289" t="s">
        <v>42</v>
      </c>
      <c r="F230" s="500">
        <f>MC!N475</f>
        <v>1453.72</v>
      </c>
      <c r="G230" s="50">
        <v>0.49</v>
      </c>
      <c r="H230" s="419">
        <f t="shared" ref="H230:H233" si="145">G230*$G$5</f>
        <v>0.1</v>
      </c>
      <c r="I230" s="420">
        <f t="shared" ref="I230" si="146">G230+H230</f>
        <v>0.59</v>
      </c>
      <c r="J230" s="421">
        <f t="shared" ref="J230" si="147">I230*F230</f>
        <v>857.69</v>
      </c>
      <c r="L230" s="273"/>
      <c r="M230" s="273"/>
    </row>
    <row r="231" spans="1:14" ht="25.5" x14ac:dyDescent="0.25">
      <c r="A231" s="414" t="s">
        <v>336</v>
      </c>
      <c r="B231" s="18">
        <v>100577</v>
      </c>
      <c r="C231" s="18" t="s">
        <v>37</v>
      </c>
      <c r="D231" s="38" t="s">
        <v>38</v>
      </c>
      <c r="E231" s="18" t="s">
        <v>30</v>
      </c>
      <c r="F231" s="500">
        <f>MC!N478</f>
        <v>7292.03</v>
      </c>
      <c r="G231" s="50">
        <v>0.8</v>
      </c>
      <c r="H231" s="419">
        <f t="shared" si="145"/>
        <v>0.17</v>
      </c>
      <c r="I231" s="420">
        <f t="shared" ref="I231:I233" si="148">G231+H231</f>
        <v>0.97</v>
      </c>
      <c r="J231" s="421">
        <f t="shared" ref="J231:J233" si="149">I231*F231</f>
        <v>7073.27</v>
      </c>
      <c r="K231" s="108"/>
      <c r="L231" s="273"/>
      <c r="M231" s="273"/>
    </row>
    <row r="232" spans="1:14" ht="38.25" x14ac:dyDescent="0.25">
      <c r="A232" s="18" t="s">
        <v>337</v>
      </c>
      <c r="B232" s="818" t="s">
        <v>748</v>
      </c>
      <c r="C232" s="819"/>
      <c r="D232" s="11" t="s">
        <v>44</v>
      </c>
      <c r="E232" s="18" t="s">
        <v>30</v>
      </c>
      <c r="F232" s="496">
        <f>MC!N481</f>
        <v>7292.03</v>
      </c>
      <c r="G232" s="302">
        <f>COMPOSIÇÕES!J82</f>
        <v>68.89</v>
      </c>
      <c r="H232" s="419">
        <f t="shared" si="145"/>
        <v>14.71</v>
      </c>
      <c r="I232" s="420">
        <f t="shared" si="148"/>
        <v>83.6</v>
      </c>
      <c r="J232" s="421">
        <f t="shared" si="149"/>
        <v>609613.71</v>
      </c>
      <c r="K232" s="108"/>
      <c r="L232" s="273"/>
      <c r="M232" s="273"/>
      <c r="N232" s="108"/>
    </row>
    <row r="233" spans="1:14" ht="63.75" x14ac:dyDescent="0.25">
      <c r="A233" s="414" t="s">
        <v>338</v>
      </c>
      <c r="B233" s="288">
        <v>94273</v>
      </c>
      <c r="C233" s="288" t="s">
        <v>10</v>
      </c>
      <c r="D233" s="41" t="s">
        <v>49</v>
      </c>
      <c r="E233" s="288" t="s">
        <v>42</v>
      </c>
      <c r="F233" s="500">
        <f>MC!N484</f>
        <v>2885.29</v>
      </c>
      <c r="G233" s="61">
        <v>50.89</v>
      </c>
      <c r="H233" s="419">
        <f t="shared" si="145"/>
        <v>10.87</v>
      </c>
      <c r="I233" s="420">
        <f t="shared" si="148"/>
        <v>61.76</v>
      </c>
      <c r="J233" s="421">
        <f t="shared" si="149"/>
        <v>178195.51</v>
      </c>
      <c r="L233" s="273"/>
      <c r="M233" s="273"/>
    </row>
    <row r="234" spans="1:14" x14ac:dyDescent="0.25">
      <c r="A234" s="297"/>
      <c r="B234" s="297"/>
      <c r="C234" s="297"/>
      <c r="D234" s="297"/>
      <c r="E234" s="297"/>
      <c r="F234" s="499"/>
      <c r="G234" s="288"/>
      <c r="H234" s="297"/>
      <c r="I234" s="297"/>
      <c r="J234" s="297"/>
      <c r="L234" s="273"/>
      <c r="M234" s="273"/>
    </row>
    <row r="235" spans="1:14" x14ac:dyDescent="0.25">
      <c r="A235" s="44" t="s">
        <v>339</v>
      </c>
      <c r="B235" s="36"/>
      <c r="C235" s="36"/>
      <c r="D235" s="45" t="s">
        <v>47</v>
      </c>
      <c r="E235" s="36"/>
      <c r="F235" s="491"/>
      <c r="G235" s="50"/>
      <c r="H235" s="36"/>
      <c r="I235" s="36"/>
      <c r="J235" s="36"/>
      <c r="L235" s="273"/>
      <c r="M235" s="273"/>
    </row>
    <row r="236" spans="1:14" x14ac:dyDescent="0.25">
      <c r="A236" s="9" t="s">
        <v>340</v>
      </c>
      <c r="B236" s="106">
        <v>99063</v>
      </c>
      <c r="C236" s="9" t="s">
        <v>10</v>
      </c>
      <c r="D236" s="349" t="s">
        <v>48</v>
      </c>
      <c r="E236" s="9" t="s">
        <v>42</v>
      </c>
      <c r="F236" s="497">
        <f>MC!N488</f>
        <v>212.44</v>
      </c>
      <c r="G236" s="9">
        <v>4.01</v>
      </c>
      <c r="H236" s="419">
        <f t="shared" ref="H236:H248" si="150">G236*$G$5</f>
        <v>0.86</v>
      </c>
      <c r="I236" s="420">
        <f t="shared" ref="I236" si="151">G236+H236</f>
        <v>4.87</v>
      </c>
      <c r="J236" s="421">
        <f t="shared" ref="J236" si="152">I236*F236</f>
        <v>1034.58</v>
      </c>
      <c r="L236" s="273"/>
      <c r="M236" s="273"/>
    </row>
    <row r="237" spans="1:14" ht="64.5" x14ac:dyDescent="0.25">
      <c r="A237" s="9" t="s">
        <v>341</v>
      </c>
      <c r="B237" s="50">
        <v>90082</v>
      </c>
      <c r="C237" s="50" t="s">
        <v>10</v>
      </c>
      <c r="D237" s="47" t="s">
        <v>50</v>
      </c>
      <c r="E237" s="50" t="s">
        <v>34</v>
      </c>
      <c r="F237" s="497">
        <f>MC!N491</f>
        <v>477.99</v>
      </c>
      <c r="G237" s="426">
        <v>7.9</v>
      </c>
      <c r="H237" s="419">
        <f t="shared" si="150"/>
        <v>1.69</v>
      </c>
      <c r="I237" s="420">
        <f t="shared" ref="I237:I248" si="153">G237+H237</f>
        <v>9.59</v>
      </c>
      <c r="J237" s="421">
        <f t="shared" ref="J237:J248" si="154">I237*F237</f>
        <v>4583.92</v>
      </c>
      <c r="L237" s="273"/>
      <c r="M237" s="273"/>
    </row>
    <row r="238" spans="1:14" ht="64.5" x14ac:dyDescent="0.25">
      <c r="A238" s="9" t="s">
        <v>342</v>
      </c>
      <c r="B238" s="50">
        <v>90084</v>
      </c>
      <c r="C238" s="50" t="s">
        <v>10</v>
      </c>
      <c r="D238" s="47" t="s">
        <v>51</v>
      </c>
      <c r="E238" s="50" t="s">
        <v>34</v>
      </c>
      <c r="F238" s="497">
        <f>MC!N494</f>
        <v>279.38</v>
      </c>
      <c r="G238" s="9">
        <v>7.65</v>
      </c>
      <c r="H238" s="419">
        <f t="shared" si="150"/>
        <v>1.63</v>
      </c>
      <c r="I238" s="420">
        <f t="shared" si="153"/>
        <v>9.2799999999999994</v>
      </c>
      <c r="J238" s="421">
        <f t="shared" si="154"/>
        <v>2592.65</v>
      </c>
      <c r="L238" s="273"/>
      <c r="M238" s="273"/>
    </row>
    <row r="239" spans="1:14" ht="51.75" x14ac:dyDescent="0.25">
      <c r="A239" s="9" t="s">
        <v>343</v>
      </c>
      <c r="B239" s="106">
        <v>92210</v>
      </c>
      <c r="C239" s="9" t="s">
        <v>10</v>
      </c>
      <c r="D239" s="342" t="s">
        <v>266</v>
      </c>
      <c r="E239" s="9" t="s">
        <v>42</v>
      </c>
      <c r="F239" s="497">
        <f>MC!N498</f>
        <v>212.44</v>
      </c>
      <c r="G239" s="9">
        <v>107.62</v>
      </c>
      <c r="H239" s="419">
        <f t="shared" si="150"/>
        <v>22.98</v>
      </c>
      <c r="I239" s="420">
        <f t="shared" si="153"/>
        <v>130.6</v>
      </c>
      <c r="J239" s="421">
        <f t="shared" si="154"/>
        <v>27744.66</v>
      </c>
      <c r="L239" s="273"/>
      <c r="M239" s="273"/>
    </row>
    <row r="240" spans="1:14" ht="39" x14ac:dyDescent="0.25">
      <c r="A240" s="9" t="s">
        <v>344</v>
      </c>
      <c r="B240" s="106">
        <v>101620</v>
      </c>
      <c r="C240" s="9" t="s">
        <v>10</v>
      </c>
      <c r="D240" s="342" t="s">
        <v>53</v>
      </c>
      <c r="E240" s="9" t="s">
        <v>34</v>
      </c>
      <c r="F240" s="497">
        <f>MC!N501</f>
        <v>47.86</v>
      </c>
      <c r="G240" s="9">
        <v>155.78</v>
      </c>
      <c r="H240" s="419">
        <f t="shared" si="150"/>
        <v>33.26</v>
      </c>
      <c r="I240" s="420">
        <f t="shared" si="153"/>
        <v>189.04</v>
      </c>
      <c r="J240" s="421">
        <f t="shared" si="154"/>
        <v>9047.4500000000007</v>
      </c>
      <c r="L240" s="273"/>
      <c r="M240" s="273"/>
    </row>
    <row r="241" spans="1:13" ht="26.25" x14ac:dyDescent="0.25">
      <c r="A241" s="9" t="s">
        <v>345</v>
      </c>
      <c r="B241" s="106">
        <v>93382</v>
      </c>
      <c r="C241" s="9" t="s">
        <v>10</v>
      </c>
      <c r="D241" s="342" t="s">
        <v>271</v>
      </c>
      <c r="E241" s="9" t="s">
        <v>34</v>
      </c>
      <c r="F241" s="497">
        <f>MC!N504</f>
        <v>667.74</v>
      </c>
      <c r="G241" s="9">
        <v>22.91</v>
      </c>
      <c r="H241" s="419">
        <f t="shared" si="150"/>
        <v>4.8899999999999997</v>
      </c>
      <c r="I241" s="420">
        <f t="shared" si="153"/>
        <v>27.8</v>
      </c>
      <c r="J241" s="421">
        <f t="shared" si="154"/>
        <v>18563.169999999998</v>
      </c>
      <c r="L241" s="273"/>
      <c r="M241" s="273"/>
    </row>
    <row r="242" spans="1:13" ht="51" x14ac:dyDescent="0.25">
      <c r="A242" s="9" t="s">
        <v>346</v>
      </c>
      <c r="B242" s="106">
        <v>100973</v>
      </c>
      <c r="C242" s="9" t="s">
        <v>10</v>
      </c>
      <c r="D242" s="56" t="s">
        <v>45</v>
      </c>
      <c r="E242" s="9" t="s">
        <v>34</v>
      </c>
      <c r="F242" s="497">
        <f>MC!N507</f>
        <v>89.63</v>
      </c>
      <c r="G242" s="9">
        <v>6.43</v>
      </c>
      <c r="H242" s="419">
        <f t="shared" si="150"/>
        <v>1.37</v>
      </c>
      <c r="I242" s="420">
        <f t="shared" si="153"/>
        <v>7.8</v>
      </c>
      <c r="J242" s="421">
        <f t="shared" si="154"/>
        <v>699.11</v>
      </c>
      <c r="L242" s="273"/>
      <c r="M242" s="273"/>
    </row>
    <row r="243" spans="1:13" ht="25.5" x14ac:dyDescent="0.25">
      <c r="A243" s="9" t="s">
        <v>347</v>
      </c>
      <c r="B243" s="106">
        <v>97913</v>
      </c>
      <c r="C243" s="9" t="s">
        <v>10</v>
      </c>
      <c r="D243" s="56" t="s">
        <v>54</v>
      </c>
      <c r="E243" s="9" t="s">
        <v>55</v>
      </c>
      <c r="F243" s="497">
        <f>MC!N510</f>
        <v>560.19000000000005</v>
      </c>
      <c r="G243" s="9">
        <v>2.2799999999999998</v>
      </c>
      <c r="H243" s="419">
        <f t="shared" si="150"/>
        <v>0.49</v>
      </c>
      <c r="I243" s="420">
        <f t="shared" si="153"/>
        <v>2.77</v>
      </c>
      <c r="J243" s="421">
        <f t="shared" si="154"/>
        <v>1551.73</v>
      </c>
      <c r="L243" s="273"/>
      <c r="M243" s="273"/>
    </row>
    <row r="244" spans="1:13" ht="38.25" x14ac:dyDescent="0.25">
      <c r="A244" s="9" t="s">
        <v>626</v>
      </c>
      <c r="B244" s="106">
        <v>101572</v>
      </c>
      <c r="C244" s="9" t="s">
        <v>10</v>
      </c>
      <c r="D244" s="104" t="s">
        <v>275</v>
      </c>
      <c r="E244" s="347" t="s">
        <v>30</v>
      </c>
      <c r="F244" s="497">
        <f>MC!N513</f>
        <v>946.12</v>
      </c>
      <c r="G244" s="9">
        <v>13.11</v>
      </c>
      <c r="H244" s="419">
        <f t="shared" si="150"/>
        <v>2.8</v>
      </c>
      <c r="I244" s="420">
        <f t="shared" si="153"/>
        <v>15.91</v>
      </c>
      <c r="J244" s="421">
        <f t="shared" si="154"/>
        <v>15052.77</v>
      </c>
      <c r="L244" s="273"/>
      <c r="M244" s="273"/>
    </row>
    <row r="245" spans="1:13" ht="39" x14ac:dyDescent="0.25">
      <c r="A245" s="9" t="s">
        <v>564</v>
      </c>
      <c r="B245" s="106">
        <v>99241</v>
      </c>
      <c r="C245" s="9" t="s">
        <v>10</v>
      </c>
      <c r="D245" s="342" t="s">
        <v>58</v>
      </c>
      <c r="E245" s="9" t="s">
        <v>42</v>
      </c>
      <c r="F245" s="497">
        <f>MC!N516</f>
        <v>13.2</v>
      </c>
      <c r="G245" s="9">
        <v>1218.05</v>
      </c>
      <c r="H245" s="419">
        <f t="shared" si="150"/>
        <v>260.05</v>
      </c>
      <c r="I245" s="420">
        <f t="shared" si="153"/>
        <v>1478.1</v>
      </c>
      <c r="J245" s="421">
        <f t="shared" si="154"/>
        <v>19510.919999999998</v>
      </c>
      <c r="L245" s="273"/>
      <c r="M245" s="273"/>
    </row>
    <row r="246" spans="1:13" ht="39" x14ac:dyDescent="0.25">
      <c r="A246" s="9" t="s">
        <v>565</v>
      </c>
      <c r="B246" s="106">
        <v>97961</v>
      </c>
      <c r="C246" s="9" t="s">
        <v>10</v>
      </c>
      <c r="D246" s="342" t="s">
        <v>273</v>
      </c>
      <c r="E246" s="9" t="s">
        <v>57</v>
      </c>
      <c r="F246" s="497">
        <f>MC!N519</f>
        <v>8</v>
      </c>
      <c r="G246" s="9">
        <v>1668.77</v>
      </c>
      <c r="H246" s="419">
        <f t="shared" si="150"/>
        <v>356.28</v>
      </c>
      <c r="I246" s="420">
        <f t="shared" si="153"/>
        <v>2025.05</v>
      </c>
      <c r="J246" s="421">
        <f t="shared" si="154"/>
        <v>16200.4</v>
      </c>
      <c r="L246" s="273"/>
      <c r="M246" s="273"/>
    </row>
    <row r="247" spans="1:13" ht="39" x14ac:dyDescent="0.25">
      <c r="A247" s="9" t="s">
        <v>566</v>
      </c>
      <c r="B247" s="106">
        <v>97973</v>
      </c>
      <c r="C247" s="9" t="s">
        <v>10</v>
      </c>
      <c r="D247" s="342" t="s">
        <v>445</v>
      </c>
      <c r="E247" s="9" t="s">
        <v>57</v>
      </c>
      <c r="F247" s="497">
        <f>MC!N522</f>
        <v>34</v>
      </c>
      <c r="G247" s="9">
        <v>3194.57</v>
      </c>
      <c r="H247" s="419">
        <f t="shared" si="150"/>
        <v>682.04</v>
      </c>
      <c r="I247" s="420">
        <f t="shared" si="153"/>
        <v>3876.61</v>
      </c>
      <c r="J247" s="421">
        <f t="shared" si="154"/>
        <v>131804.74</v>
      </c>
      <c r="L247" s="273"/>
      <c r="M247" s="273"/>
    </row>
    <row r="248" spans="1:13" ht="39" x14ac:dyDescent="0.25">
      <c r="A248" s="9" t="s">
        <v>567</v>
      </c>
      <c r="B248" s="828" t="s">
        <v>835</v>
      </c>
      <c r="C248" s="829"/>
      <c r="D248" s="342" t="s">
        <v>274</v>
      </c>
      <c r="E248" s="9" t="s">
        <v>57</v>
      </c>
      <c r="F248" s="497">
        <f>MC!N525</f>
        <v>22</v>
      </c>
      <c r="G248" s="9">
        <f>COMPOSIÇÕES!J92</f>
        <v>810.41</v>
      </c>
      <c r="H248" s="419">
        <f t="shared" si="150"/>
        <v>173.02</v>
      </c>
      <c r="I248" s="420">
        <f t="shared" si="153"/>
        <v>983.43</v>
      </c>
      <c r="J248" s="421">
        <f t="shared" si="154"/>
        <v>21635.46</v>
      </c>
      <c r="L248" s="273"/>
      <c r="M248" s="273"/>
    </row>
    <row r="249" spans="1:13" x14ac:dyDescent="0.25">
      <c r="A249" s="50"/>
      <c r="B249" s="323"/>
      <c r="C249" s="327"/>
      <c r="D249" s="57"/>
      <c r="E249" s="323"/>
      <c r="F249" s="491"/>
      <c r="G249" s="50"/>
      <c r="H249" s="13"/>
      <c r="I249" s="14"/>
      <c r="J249" s="15"/>
      <c r="L249" s="273"/>
      <c r="M249" s="273"/>
    </row>
    <row r="250" spans="1:13" x14ac:dyDescent="0.25">
      <c r="A250" s="815" t="s">
        <v>465</v>
      </c>
      <c r="B250" s="816"/>
      <c r="C250" s="816"/>
      <c r="D250" s="816"/>
      <c r="E250" s="816"/>
      <c r="F250" s="816"/>
      <c r="G250" s="816"/>
      <c r="H250" s="816"/>
      <c r="I250" s="816"/>
      <c r="J250" s="817"/>
      <c r="L250" s="273"/>
      <c r="M250" s="273"/>
    </row>
    <row r="251" spans="1:13" x14ac:dyDescent="0.25">
      <c r="A251" s="293" t="s">
        <v>348</v>
      </c>
      <c r="B251" s="825" t="s">
        <v>457</v>
      </c>
      <c r="C251" s="826"/>
      <c r="D251" s="826"/>
      <c r="E251" s="826"/>
      <c r="F251" s="826"/>
      <c r="G251" s="826"/>
      <c r="H251" s="826"/>
      <c r="I251" s="827"/>
      <c r="J251" s="294">
        <f>SUM(J252:J276)</f>
        <v>260767.14</v>
      </c>
      <c r="L251" s="273"/>
      <c r="M251" s="273"/>
    </row>
    <row r="252" spans="1:13" x14ac:dyDescent="0.25">
      <c r="A252" s="295" t="s">
        <v>349</v>
      </c>
      <c r="B252" s="296"/>
      <c r="C252" s="296"/>
      <c r="D252" s="296" t="s">
        <v>33</v>
      </c>
      <c r="E252" s="297"/>
      <c r="F252" s="499"/>
      <c r="G252" s="323"/>
      <c r="H252" s="297"/>
      <c r="I252" s="297"/>
      <c r="J252" s="297"/>
      <c r="L252" s="273"/>
      <c r="M252" s="273"/>
    </row>
    <row r="253" spans="1:13" ht="25.5" x14ac:dyDescent="0.25">
      <c r="A253" s="323" t="s">
        <v>350</v>
      </c>
      <c r="B253" s="18">
        <v>101114</v>
      </c>
      <c r="C253" s="18" t="s">
        <v>10</v>
      </c>
      <c r="D253" s="48" t="s">
        <v>270</v>
      </c>
      <c r="E253" s="18" t="s">
        <v>34</v>
      </c>
      <c r="F253" s="500">
        <f>MC!N531</f>
        <v>14</v>
      </c>
      <c r="G253" s="50">
        <v>2.94</v>
      </c>
      <c r="H253" s="419">
        <f t="shared" ref="H253:H255" si="155">G253*$G$5</f>
        <v>0.63</v>
      </c>
      <c r="I253" s="420">
        <f t="shared" ref="I253" si="156">G253+H253</f>
        <v>3.57</v>
      </c>
      <c r="J253" s="421">
        <f t="shared" ref="J253" si="157">I253*F253</f>
        <v>49.98</v>
      </c>
      <c r="L253" s="273"/>
      <c r="M253" s="273"/>
    </row>
    <row r="254" spans="1:13" ht="51" x14ac:dyDescent="0.25">
      <c r="A254" s="414" t="s">
        <v>351</v>
      </c>
      <c r="B254" s="323">
        <v>100973</v>
      </c>
      <c r="C254" s="323" t="s">
        <v>10</v>
      </c>
      <c r="D254" s="41" t="s">
        <v>45</v>
      </c>
      <c r="E254" s="323" t="s">
        <v>34</v>
      </c>
      <c r="F254" s="500">
        <f>MC!N534</f>
        <v>17.5</v>
      </c>
      <c r="G254" s="50">
        <v>6.43</v>
      </c>
      <c r="H254" s="419">
        <f t="shared" si="155"/>
        <v>1.37</v>
      </c>
      <c r="I254" s="420">
        <f t="shared" ref="I254:I255" si="158">G254+H254</f>
        <v>7.8</v>
      </c>
      <c r="J254" s="421">
        <f t="shared" ref="J254:J255" si="159">I254*F254</f>
        <v>136.5</v>
      </c>
      <c r="L254" s="273"/>
      <c r="M254" s="273"/>
    </row>
    <row r="255" spans="1:13" ht="38.25" x14ac:dyDescent="0.25">
      <c r="A255" s="414" t="s">
        <v>352</v>
      </c>
      <c r="B255" s="18">
        <v>95875</v>
      </c>
      <c r="C255" s="18" t="s">
        <v>10</v>
      </c>
      <c r="D255" s="49" t="s">
        <v>35</v>
      </c>
      <c r="E255" s="18" t="s">
        <v>36</v>
      </c>
      <c r="F255" s="500">
        <f>MC!N537</f>
        <v>87.5</v>
      </c>
      <c r="G255" s="50">
        <v>1.75</v>
      </c>
      <c r="H255" s="419">
        <f t="shared" si="155"/>
        <v>0.37</v>
      </c>
      <c r="I255" s="420">
        <f t="shared" si="158"/>
        <v>2.12</v>
      </c>
      <c r="J255" s="421">
        <f t="shared" si="159"/>
        <v>185.5</v>
      </c>
      <c r="L255" s="273"/>
      <c r="M255" s="273"/>
    </row>
    <row r="256" spans="1:13" x14ac:dyDescent="0.25">
      <c r="A256" s="297"/>
      <c r="B256" s="297"/>
      <c r="C256" s="297"/>
      <c r="D256" s="297"/>
      <c r="E256" s="297"/>
      <c r="F256" s="500"/>
      <c r="G256" s="50"/>
      <c r="H256" s="297"/>
      <c r="I256" s="297"/>
      <c r="J256" s="297"/>
      <c r="L256" s="273"/>
      <c r="M256" s="273"/>
    </row>
    <row r="257" spans="1:14" x14ac:dyDescent="0.25">
      <c r="A257" s="295" t="s">
        <v>353</v>
      </c>
      <c r="B257" s="296"/>
      <c r="C257" s="296"/>
      <c r="D257" s="296" t="s">
        <v>40</v>
      </c>
      <c r="E257" s="297"/>
      <c r="F257" s="500"/>
      <c r="G257" s="50"/>
      <c r="H257" s="297"/>
      <c r="I257" s="297"/>
      <c r="J257" s="297"/>
      <c r="L257" s="273"/>
      <c r="M257" s="273"/>
    </row>
    <row r="258" spans="1:14" ht="20.45" customHeight="1" x14ac:dyDescent="0.25">
      <c r="A258" s="323" t="s">
        <v>354</v>
      </c>
      <c r="B258" s="9">
        <v>99064</v>
      </c>
      <c r="C258" s="10" t="s">
        <v>10</v>
      </c>
      <c r="D258" s="41" t="s">
        <v>41</v>
      </c>
      <c r="E258" s="324" t="s">
        <v>42</v>
      </c>
      <c r="F258" s="500">
        <f>MC!N541</f>
        <v>247.66</v>
      </c>
      <c r="G258" s="50">
        <v>0.49</v>
      </c>
      <c r="H258" s="419">
        <f t="shared" ref="H258:H261" si="160">G258*$G$5</f>
        <v>0.1</v>
      </c>
      <c r="I258" s="420">
        <f t="shared" ref="I258" si="161">G258+H258</f>
        <v>0.59</v>
      </c>
      <c r="J258" s="421">
        <f t="shared" ref="J258" si="162">I258*F258</f>
        <v>146.12</v>
      </c>
      <c r="L258" s="273"/>
      <c r="M258" s="273"/>
    </row>
    <row r="259" spans="1:14" ht="25.5" x14ac:dyDescent="0.25">
      <c r="A259" s="323" t="s">
        <v>355</v>
      </c>
      <c r="B259" s="18">
        <v>100577</v>
      </c>
      <c r="C259" s="18" t="s">
        <v>37</v>
      </c>
      <c r="D259" s="38" t="s">
        <v>38</v>
      </c>
      <c r="E259" s="18" t="s">
        <v>30</v>
      </c>
      <c r="F259" s="500">
        <f>MC!N544</f>
        <v>1716.16</v>
      </c>
      <c r="G259" s="50">
        <v>0.8</v>
      </c>
      <c r="H259" s="419">
        <f t="shared" si="160"/>
        <v>0.17</v>
      </c>
      <c r="I259" s="420">
        <f t="shared" ref="I259:I261" si="163">G259+H259</f>
        <v>0.97</v>
      </c>
      <c r="J259" s="421">
        <f t="shared" ref="J259:J261" si="164">I259*F259</f>
        <v>1664.68</v>
      </c>
      <c r="K259" s="108"/>
      <c r="L259" s="273"/>
      <c r="M259" s="273"/>
    </row>
    <row r="260" spans="1:14" ht="38.25" x14ac:dyDescent="0.25">
      <c r="A260" s="18" t="s">
        <v>356</v>
      </c>
      <c r="B260" s="818" t="s">
        <v>748</v>
      </c>
      <c r="C260" s="819"/>
      <c r="D260" s="11" t="s">
        <v>44</v>
      </c>
      <c r="E260" s="18" t="s">
        <v>30</v>
      </c>
      <c r="F260" s="496">
        <f>MC!N547</f>
        <v>1716.16</v>
      </c>
      <c r="G260" s="302">
        <f>COMPOSIÇÕES!J82</f>
        <v>68.89</v>
      </c>
      <c r="H260" s="419">
        <f t="shared" si="160"/>
        <v>14.71</v>
      </c>
      <c r="I260" s="420">
        <f t="shared" si="163"/>
        <v>83.6</v>
      </c>
      <c r="J260" s="421">
        <f t="shared" si="164"/>
        <v>143470.98000000001</v>
      </c>
      <c r="K260" s="108"/>
      <c r="L260" s="273"/>
      <c r="M260" s="273"/>
      <c r="N260" s="108"/>
    </row>
    <row r="261" spans="1:14" ht="63.75" x14ac:dyDescent="0.25">
      <c r="A261" s="323" t="s">
        <v>357</v>
      </c>
      <c r="B261" s="323">
        <v>94273</v>
      </c>
      <c r="C261" s="323" t="s">
        <v>10</v>
      </c>
      <c r="D261" s="41" t="s">
        <v>49</v>
      </c>
      <c r="E261" s="323" t="s">
        <v>42</v>
      </c>
      <c r="F261" s="500">
        <f>MC!N550</f>
        <v>478.1</v>
      </c>
      <c r="G261" s="61">
        <v>50.89</v>
      </c>
      <c r="H261" s="419">
        <f t="shared" si="160"/>
        <v>10.87</v>
      </c>
      <c r="I261" s="420">
        <f t="shared" si="163"/>
        <v>61.76</v>
      </c>
      <c r="J261" s="421">
        <f t="shared" si="164"/>
        <v>29527.46</v>
      </c>
      <c r="L261" s="273"/>
      <c r="M261" s="273"/>
    </row>
    <row r="262" spans="1:14" x14ac:dyDescent="0.25">
      <c r="A262" s="297"/>
      <c r="B262" s="297"/>
      <c r="C262" s="297"/>
      <c r="D262" s="297"/>
      <c r="E262" s="297"/>
      <c r="F262" s="499"/>
      <c r="G262" s="323"/>
      <c r="H262" s="297"/>
      <c r="I262" s="297"/>
      <c r="J262" s="297"/>
      <c r="L262" s="273"/>
      <c r="M262" s="273"/>
    </row>
    <row r="263" spans="1:14" x14ac:dyDescent="0.25">
      <c r="A263" s="44" t="s">
        <v>358</v>
      </c>
      <c r="B263" s="36"/>
      <c r="C263" s="36"/>
      <c r="D263" s="45" t="s">
        <v>47</v>
      </c>
      <c r="E263" s="36"/>
      <c r="F263" s="491"/>
      <c r="G263" s="50"/>
      <c r="H263" s="36"/>
      <c r="I263" s="36"/>
      <c r="J263" s="36"/>
      <c r="L263" s="273"/>
      <c r="M263" s="273"/>
    </row>
    <row r="264" spans="1:14" x14ac:dyDescent="0.25">
      <c r="A264" s="9" t="s">
        <v>359</v>
      </c>
      <c r="B264" s="106">
        <v>99063</v>
      </c>
      <c r="C264" s="9" t="s">
        <v>10</v>
      </c>
      <c r="D264" s="349" t="s">
        <v>48</v>
      </c>
      <c r="E264" s="9" t="s">
        <v>42</v>
      </c>
      <c r="F264" s="497">
        <f>MC!N554</f>
        <v>87.81</v>
      </c>
      <c r="G264" s="9">
        <v>4.01</v>
      </c>
      <c r="H264" s="419">
        <f t="shared" ref="H264:H275" si="165">G264*$G$5</f>
        <v>0.86</v>
      </c>
      <c r="I264" s="420">
        <f t="shared" ref="I264" si="166">G264+H264</f>
        <v>4.87</v>
      </c>
      <c r="J264" s="421">
        <f t="shared" ref="J264" si="167">I264*F264</f>
        <v>427.63</v>
      </c>
      <c r="L264" s="273"/>
      <c r="M264" s="273"/>
    </row>
    <row r="265" spans="1:14" ht="64.5" x14ac:dyDescent="0.25">
      <c r="A265" s="9" t="s">
        <v>360</v>
      </c>
      <c r="B265" s="50">
        <v>90082</v>
      </c>
      <c r="C265" s="50" t="s">
        <v>10</v>
      </c>
      <c r="D265" s="47" t="s">
        <v>50</v>
      </c>
      <c r="E265" s="50" t="s">
        <v>34</v>
      </c>
      <c r="F265" s="497">
        <f>MC!N557</f>
        <v>197.57</v>
      </c>
      <c r="G265" s="426">
        <v>7.9</v>
      </c>
      <c r="H265" s="419">
        <f t="shared" si="165"/>
        <v>1.69</v>
      </c>
      <c r="I265" s="420">
        <f t="shared" ref="I265:I275" si="168">G265+H265</f>
        <v>9.59</v>
      </c>
      <c r="J265" s="421">
        <f t="shared" ref="J265:J275" si="169">I265*F265</f>
        <v>1894.7</v>
      </c>
      <c r="L265" s="273"/>
      <c r="M265" s="273"/>
    </row>
    <row r="266" spans="1:14" ht="64.5" x14ac:dyDescent="0.25">
      <c r="A266" s="9" t="s">
        <v>361</v>
      </c>
      <c r="B266" s="50">
        <v>90084</v>
      </c>
      <c r="C266" s="50" t="s">
        <v>10</v>
      </c>
      <c r="D266" s="47" t="s">
        <v>51</v>
      </c>
      <c r="E266" s="50" t="s">
        <v>34</v>
      </c>
      <c r="F266" s="497">
        <f>MC!N560</f>
        <v>19.77</v>
      </c>
      <c r="G266" s="9">
        <v>7.65</v>
      </c>
      <c r="H266" s="419">
        <f t="shared" si="165"/>
        <v>1.63</v>
      </c>
      <c r="I266" s="420">
        <f t="shared" si="168"/>
        <v>9.2799999999999994</v>
      </c>
      <c r="J266" s="421">
        <f t="shared" si="169"/>
        <v>183.47</v>
      </c>
      <c r="L266" s="273"/>
      <c r="M266" s="273"/>
    </row>
    <row r="267" spans="1:14" ht="51.75" x14ac:dyDescent="0.25">
      <c r="A267" s="9" t="s">
        <v>362</v>
      </c>
      <c r="B267" s="106">
        <v>92210</v>
      </c>
      <c r="C267" s="9" t="s">
        <v>10</v>
      </c>
      <c r="D267" s="342" t="s">
        <v>266</v>
      </c>
      <c r="E267" s="9" t="s">
        <v>42</v>
      </c>
      <c r="F267" s="497">
        <f>MC!N563</f>
        <v>87.81</v>
      </c>
      <c r="G267" s="9">
        <v>107.62</v>
      </c>
      <c r="H267" s="419">
        <f t="shared" si="165"/>
        <v>22.98</v>
      </c>
      <c r="I267" s="420">
        <f t="shared" si="168"/>
        <v>130.6</v>
      </c>
      <c r="J267" s="421">
        <f t="shared" si="169"/>
        <v>11467.99</v>
      </c>
      <c r="L267" s="273"/>
      <c r="M267" s="273"/>
    </row>
    <row r="268" spans="1:14" ht="39" x14ac:dyDescent="0.25">
      <c r="A268" s="9" t="s">
        <v>363</v>
      </c>
      <c r="B268" s="106">
        <v>101620</v>
      </c>
      <c r="C268" s="9" t="s">
        <v>10</v>
      </c>
      <c r="D268" s="342" t="s">
        <v>53</v>
      </c>
      <c r="E268" s="9" t="s">
        <v>34</v>
      </c>
      <c r="F268" s="497">
        <f>MC!N566</f>
        <v>19.77</v>
      </c>
      <c r="G268" s="9">
        <v>155.78</v>
      </c>
      <c r="H268" s="419">
        <f t="shared" si="165"/>
        <v>33.26</v>
      </c>
      <c r="I268" s="420">
        <f t="shared" si="168"/>
        <v>189.04</v>
      </c>
      <c r="J268" s="421">
        <f t="shared" si="169"/>
        <v>3737.32</v>
      </c>
      <c r="L268" s="273"/>
      <c r="M268" s="273"/>
    </row>
    <row r="269" spans="1:14" ht="26.25" x14ac:dyDescent="0.25">
      <c r="A269" s="9" t="s">
        <v>364</v>
      </c>
      <c r="B269" s="106">
        <v>93382</v>
      </c>
      <c r="C269" s="9" t="s">
        <v>10</v>
      </c>
      <c r="D269" s="342" t="s">
        <v>271</v>
      </c>
      <c r="E269" s="9" t="s">
        <v>34</v>
      </c>
      <c r="F269" s="497">
        <f>MC!N569</f>
        <v>180.33</v>
      </c>
      <c r="G269" s="9">
        <v>22.91</v>
      </c>
      <c r="H269" s="419">
        <f t="shared" si="165"/>
        <v>4.8899999999999997</v>
      </c>
      <c r="I269" s="420">
        <f t="shared" si="168"/>
        <v>27.8</v>
      </c>
      <c r="J269" s="421">
        <f t="shared" si="169"/>
        <v>5013.17</v>
      </c>
      <c r="L269" s="273"/>
      <c r="M269" s="273"/>
    </row>
    <row r="270" spans="1:14" ht="51" x14ac:dyDescent="0.25">
      <c r="A270" s="9" t="s">
        <v>365</v>
      </c>
      <c r="B270" s="106">
        <v>100973</v>
      </c>
      <c r="C270" s="9" t="s">
        <v>10</v>
      </c>
      <c r="D270" s="56" t="s">
        <v>45</v>
      </c>
      <c r="E270" s="9" t="s">
        <v>34</v>
      </c>
      <c r="F270" s="497">
        <f>MC!N572</f>
        <v>37.01</v>
      </c>
      <c r="G270" s="9">
        <v>6.43</v>
      </c>
      <c r="H270" s="419">
        <f t="shared" si="165"/>
        <v>1.37</v>
      </c>
      <c r="I270" s="420">
        <f t="shared" si="168"/>
        <v>7.8</v>
      </c>
      <c r="J270" s="421">
        <f t="shared" si="169"/>
        <v>288.68</v>
      </c>
      <c r="L270" s="273"/>
      <c r="M270" s="273"/>
    </row>
    <row r="271" spans="1:14" ht="25.5" x14ac:dyDescent="0.25">
      <c r="A271" s="9" t="s">
        <v>366</v>
      </c>
      <c r="B271" s="106">
        <v>97913</v>
      </c>
      <c r="C271" s="9" t="s">
        <v>10</v>
      </c>
      <c r="D271" s="56" t="s">
        <v>54</v>
      </c>
      <c r="E271" s="9" t="s">
        <v>55</v>
      </c>
      <c r="F271" s="497">
        <f>MC!N575</f>
        <v>231.31</v>
      </c>
      <c r="G271" s="9">
        <v>2.2799999999999998</v>
      </c>
      <c r="H271" s="419">
        <f t="shared" si="165"/>
        <v>0.49</v>
      </c>
      <c r="I271" s="420">
        <f t="shared" si="168"/>
        <v>2.77</v>
      </c>
      <c r="J271" s="421">
        <f t="shared" si="169"/>
        <v>640.73</v>
      </c>
      <c r="L271" s="273"/>
      <c r="M271" s="273"/>
    </row>
    <row r="272" spans="1:14" ht="38.25" x14ac:dyDescent="0.25">
      <c r="A272" s="9" t="s">
        <v>665</v>
      </c>
      <c r="B272" s="106">
        <v>101572</v>
      </c>
      <c r="C272" s="9" t="s">
        <v>10</v>
      </c>
      <c r="D272" s="104" t="s">
        <v>275</v>
      </c>
      <c r="E272" s="347" t="s">
        <v>30</v>
      </c>
      <c r="F272" s="497">
        <f>MC!N578</f>
        <v>263.43</v>
      </c>
      <c r="G272" s="9">
        <v>13.11</v>
      </c>
      <c r="H272" s="419">
        <f t="shared" si="165"/>
        <v>2.8</v>
      </c>
      <c r="I272" s="420">
        <f t="shared" si="168"/>
        <v>15.91</v>
      </c>
      <c r="J272" s="421">
        <f t="shared" si="169"/>
        <v>4191.17</v>
      </c>
      <c r="L272" s="273"/>
      <c r="M272" s="273"/>
    </row>
    <row r="273" spans="1:13" ht="39" x14ac:dyDescent="0.25">
      <c r="A273" s="9" t="s">
        <v>568</v>
      </c>
      <c r="B273" s="106">
        <v>99241</v>
      </c>
      <c r="C273" s="9" t="s">
        <v>10</v>
      </c>
      <c r="D273" s="342" t="s">
        <v>58</v>
      </c>
      <c r="E273" s="9" t="s">
        <v>42</v>
      </c>
      <c r="F273" s="497">
        <f>MC!N581</f>
        <v>3.6</v>
      </c>
      <c r="G273" s="9">
        <v>1218.05</v>
      </c>
      <c r="H273" s="419">
        <f t="shared" si="165"/>
        <v>260.05</v>
      </c>
      <c r="I273" s="420">
        <f t="shared" si="168"/>
        <v>1478.1</v>
      </c>
      <c r="J273" s="421">
        <f t="shared" si="169"/>
        <v>5321.16</v>
      </c>
      <c r="L273" s="273"/>
      <c r="M273" s="273"/>
    </row>
    <row r="274" spans="1:13" ht="39" x14ac:dyDescent="0.25">
      <c r="A274" s="9" t="s">
        <v>569</v>
      </c>
      <c r="B274" s="106">
        <v>97973</v>
      </c>
      <c r="C274" s="9" t="s">
        <v>10</v>
      </c>
      <c r="D274" s="342" t="s">
        <v>445</v>
      </c>
      <c r="E274" s="9" t="s">
        <v>57</v>
      </c>
      <c r="F274" s="497">
        <f>MC!N584</f>
        <v>12</v>
      </c>
      <c r="G274" s="9">
        <v>3194.57</v>
      </c>
      <c r="H274" s="419">
        <f t="shared" si="165"/>
        <v>682.04</v>
      </c>
      <c r="I274" s="420">
        <f t="shared" si="168"/>
        <v>3876.61</v>
      </c>
      <c r="J274" s="421">
        <f t="shared" si="169"/>
        <v>46519.32</v>
      </c>
      <c r="L274" s="273"/>
      <c r="M274" s="273"/>
    </row>
    <row r="275" spans="1:13" ht="39" x14ac:dyDescent="0.25">
      <c r="A275" s="9" t="s">
        <v>570</v>
      </c>
      <c r="B275" s="828" t="s">
        <v>835</v>
      </c>
      <c r="C275" s="829"/>
      <c r="D275" s="342" t="s">
        <v>274</v>
      </c>
      <c r="E275" s="9" t="s">
        <v>57</v>
      </c>
      <c r="F275" s="497">
        <f>MC!N587</f>
        <v>6</v>
      </c>
      <c r="G275" s="9">
        <f>COMPOSIÇÕES!J92</f>
        <v>810.41</v>
      </c>
      <c r="H275" s="419">
        <f t="shared" si="165"/>
        <v>173.02</v>
      </c>
      <c r="I275" s="420">
        <f t="shared" si="168"/>
        <v>983.43</v>
      </c>
      <c r="J275" s="421">
        <f t="shared" si="169"/>
        <v>5900.58</v>
      </c>
      <c r="L275" s="273"/>
      <c r="M275" s="273"/>
    </row>
    <row r="276" spans="1:13" x14ac:dyDescent="0.25">
      <c r="A276" s="44"/>
      <c r="B276" s="36"/>
      <c r="C276" s="36"/>
      <c r="D276" s="45"/>
      <c r="E276" s="36"/>
      <c r="F276" s="491"/>
      <c r="G276" s="50"/>
      <c r="H276" s="299"/>
      <c r="I276" s="36"/>
      <c r="J276" s="348"/>
      <c r="L276" s="273"/>
      <c r="M276" s="273"/>
    </row>
    <row r="277" spans="1:13" x14ac:dyDescent="0.25">
      <c r="A277" s="293" t="s">
        <v>367</v>
      </c>
      <c r="B277" s="825" t="s">
        <v>458</v>
      </c>
      <c r="C277" s="826"/>
      <c r="D277" s="826"/>
      <c r="E277" s="826"/>
      <c r="F277" s="826"/>
      <c r="G277" s="826"/>
      <c r="H277" s="826"/>
      <c r="I277" s="827"/>
      <c r="J277" s="294">
        <f>SUM(J278:J302)</f>
        <v>321808.93</v>
      </c>
      <c r="L277" s="273"/>
      <c r="M277" s="273"/>
    </row>
    <row r="278" spans="1:13" x14ac:dyDescent="0.25">
      <c r="A278" s="295" t="s">
        <v>368</v>
      </c>
      <c r="B278" s="296"/>
      <c r="C278" s="296"/>
      <c r="D278" s="296" t="s">
        <v>33</v>
      </c>
      <c r="E278" s="297"/>
      <c r="F278" s="499"/>
      <c r="G278" s="323"/>
      <c r="H278" s="297"/>
      <c r="I278" s="297"/>
      <c r="J278" s="297"/>
      <c r="L278" s="273"/>
      <c r="M278" s="273"/>
    </row>
    <row r="279" spans="1:13" ht="25.5" x14ac:dyDescent="0.25">
      <c r="A279" s="323" t="s">
        <v>369</v>
      </c>
      <c r="B279" s="18">
        <v>101114</v>
      </c>
      <c r="C279" s="18" t="s">
        <v>10</v>
      </c>
      <c r="D279" s="48" t="s">
        <v>270</v>
      </c>
      <c r="E279" s="18" t="s">
        <v>34</v>
      </c>
      <c r="F279" s="500">
        <f>MC!N592</f>
        <v>203.2</v>
      </c>
      <c r="G279" s="50">
        <v>2.94</v>
      </c>
      <c r="H279" s="419">
        <f t="shared" ref="H279:H281" si="170">G279*$G$5</f>
        <v>0.63</v>
      </c>
      <c r="I279" s="420">
        <f t="shared" ref="I279" si="171">G279+H279</f>
        <v>3.57</v>
      </c>
      <c r="J279" s="421">
        <f t="shared" ref="J279" si="172">I279*F279</f>
        <v>725.42</v>
      </c>
      <c r="L279" s="273"/>
      <c r="M279" s="273"/>
    </row>
    <row r="280" spans="1:13" ht="51" x14ac:dyDescent="0.25">
      <c r="A280" s="414" t="s">
        <v>370</v>
      </c>
      <c r="B280" s="323">
        <v>100973</v>
      </c>
      <c r="C280" s="323" t="s">
        <v>10</v>
      </c>
      <c r="D280" s="41" t="s">
        <v>45</v>
      </c>
      <c r="E280" s="323" t="s">
        <v>34</v>
      </c>
      <c r="F280" s="500">
        <f>MC!N595</f>
        <v>254</v>
      </c>
      <c r="G280" s="50">
        <v>6.43</v>
      </c>
      <c r="H280" s="419">
        <f t="shared" si="170"/>
        <v>1.37</v>
      </c>
      <c r="I280" s="420">
        <f t="shared" ref="I280:I281" si="173">G280+H280</f>
        <v>7.8</v>
      </c>
      <c r="J280" s="421">
        <f t="shared" ref="J280:J281" si="174">I280*F280</f>
        <v>1981.2</v>
      </c>
      <c r="L280" s="273"/>
      <c r="M280" s="273"/>
    </row>
    <row r="281" spans="1:13" ht="38.25" x14ac:dyDescent="0.25">
      <c r="A281" s="414" t="s">
        <v>371</v>
      </c>
      <c r="B281" s="18">
        <v>95875</v>
      </c>
      <c r="C281" s="18" t="s">
        <v>10</v>
      </c>
      <c r="D281" s="49" t="s">
        <v>35</v>
      </c>
      <c r="E281" s="18" t="s">
        <v>36</v>
      </c>
      <c r="F281" s="500">
        <f>MC!N598</f>
        <v>1270</v>
      </c>
      <c r="G281" s="50">
        <v>1.75</v>
      </c>
      <c r="H281" s="419">
        <f t="shared" si="170"/>
        <v>0.37</v>
      </c>
      <c r="I281" s="420">
        <f t="shared" si="173"/>
        <v>2.12</v>
      </c>
      <c r="J281" s="421">
        <f t="shared" si="174"/>
        <v>2692.4</v>
      </c>
      <c r="L281" s="273"/>
      <c r="M281" s="273"/>
    </row>
    <row r="282" spans="1:13" x14ac:dyDescent="0.25">
      <c r="A282" s="297"/>
      <c r="B282" s="297"/>
      <c r="C282" s="297"/>
      <c r="D282" s="297"/>
      <c r="E282" s="297"/>
      <c r="F282" s="500"/>
      <c r="G282" s="50"/>
      <c r="H282" s="297"/>
      <c r="I282" s="297"/>
      <c r="J282" s="297"/>
      <c r="L282" s="273"/>
      <c r="M282" s="273"/>
    </row>
    <row r="283" spans="1:13" x14ac:dyDescent="0.25">
      <c r="A283" s="295" t="s">
        <v>372</v>
      </c>
      <c r="B283" s="296"/>
      <c r="C283" s="296"/>
      <c r="D283" s="296" t="s">
        <v>40</v>
      </c>
      <c r="E283" s="297"/>
      <c r="F283" s="500"/>
      <c r="G283" s="50"/>
      <c r="H283" s="297"/>
      <c r="I283" s="297"/>
      <c r="J283" s="297"/>
      <c r="L283" s="273"/>
      <c r="M283" s="273"/>
    </row>
    <row r="284" spans="1:13" x14ac:dyDescent="0.25">
      <c r="A284" s="323" t="s">
        <v>373</v>
      </c>
      <c r="B284" s="9">
        <v>99064</v>
      </c>
      <c r="C284" s="10" t="s">
        <v>10</v>
      </c>
      <c r="D284" s="41" t="s">
        <v>41</v>
      </c>
      <c r="E284" s="324" t="s">
        <v>42</v>
      </c>
      <c r="F284" s="500">
        <f>MC!N602</f>
        <v>290.29000000000002</v>
      </c>
      <c r="G284" s="50">
        <v>0.49</v>
      </c>
      <c r="H284" s="419">
        <f t="shared" ref="H284:H287" si="175">G284*$G$5</f>
        <v>0.1</v>
      </c>
      <c r="I284" s="420">
        <f t="shared" ref="I284" si="176">G284+H284</f>
        <v>0.59</v>
      </c>
      <c r="J284" s="421">
        <f t="shared" ref="J284" si="177">I284*F284</f>
        <v>171.27</v>
      </c>
      <c r="L284" s="273"/>
      <c r="M284" s="273"/>
    </row>
    <row r="285" spans="1:13" ht="25.5" x14ac:dyDescent="0.25">
      <c r="A285" s="414" t="s">
        <v>374</v>
      </c>
      <c r="B285" s="18">
        <v>100577</v>
      </c>
      <c r="C285" s="18" t="s">
        <v>37</v>
      </c>
      <c r="D285" s="38" t="s">
        <v>38</v>
      </c>
      <c r="E285" s="18" t="s">
        <v>30</v>
      </c>
      <c r="F285" s="500">
        <f>MC!N605</f>
        <v>2719.89</v>
      </c>
      <c r="G285" s="50">
        <v>0.8</v>
      </c>
      <c r="H285" s="419">
        <f t="shared" si="175"/>
        <v>0.17</v>
      </c>
      <c r="I285" s="420">
        <f t="shared" ref="I285:I287" si="178">G285+H285</f>
        <v>0.97</v>
      </c>
      <c r="J285" s="421">
        <f t="shared" ref="J285:J287" si="179">I285*F285</f>
        <v>2638.29</v>
      </c>
      <c r="K285" s="108"/>
      <c r="L285" s="273"/>
      <c r="M285" s="273"/>
    </row>
    <row r="286" spans="1:13" ht="38.25" x14ac:dyDescent="0.25">
      <c r="A286" s="18" t="s">
        <v>375</v>
      </c>
      <c r="B286" s="818" t="s">
        <v>748</v>
      </c>
      <c r="C286" s="819"/>
      <c r="D286" s="11" t="s">
        <v>44</v>
      </c>
      <c r="E286" s="18" t="s">
        <v>30</v>
      </c>
      <c r="F286" s="496">
        <f>MC!N608</f>
        <v>2719.89</v>
      </c>
      <c r="G286" s="302">
        <f>COMPOSIÇÕES!J82</f>
        <v>68.89</v>
      </c>
      <c r="H286" s="419">
        <f t="shared" si="175"/>
        <v>14.71</v>
      </c>
      <c r="I286" s="420">
        <f t="shared" si="178"/>
        <v>83.6</v>
      </c>
      <c r="J286" s="421">
        <f t="shared" si="179"/>
        <v>227382.8</v>
      </c>
      <c r="L286" s="273"/>
      <c r="M286" s="273"/>
    </row>
    <row r="287" spans="1:13" ht="63.75" x14ac:dyDescent="0.25">
      <c r="A287" s="414" t="s">
        <v>376</v>
      </c>
      <c r="B287" s="323">
        <v>94273</v>
      </c>
      <c r="C287" s="323" t="s">
        <v>10</v>
      </c>
      <c r="D287" s="41" t="s">
        <v>49</v>
      </c>
      <c r="E287" s="323" t="s">
        <v>42</v>
      </c>
      <c r="F287" s="500">
        <f>MC!N611</f>
        <v>844.18</v>
      </c>
      <c r="G287" s="61">
        <v>50.89</v>
      </c>
      <c r="H287" s="419">
        <f t="shared" si="175"/>
        <v>10.87</v>
      </c>
      <c r="I287" s="420">
        <f t="shared" si="178"/>
        <v>61.76</v>
      </c>
      <c r="J287" s="421">
        <f t="shared" si="179"/>
        <v>52136.56</v>
      </c>
      <c r="L287" s="273"/>
      <c r="M287" s="273"/>
    </row>
    <row r="288" spans="1:13" x14ac:dyDescent="0.25">
      <c r="A288" s="297"/>
      <c r="B288" s="297"/>
      <c r="C288" s="297"/>
      <c r="D288" s="297"/>
      <c r="E288" s="297"/>
      <c r="F288" s="499"/>
      <c r="G288" s="323"/>
      <c r="H288" s="297"/>
      <c r="I288" s="297"/>
      <c r="J288" s="297"/>
      <c r="L288" s="273"/>
      <c r="M288" s="273"/>
    </row>
    <row r="289" spans="1:13" x14ac:dyDescent="0.25">
      <c r="A289" s="44" t="s">
        <v>627</v>
      </c>
      <c r="B289" s="36"/>
      <c r="C289" s="36"/>
      <c r="D289" s="45" t="s">
        <v>47</v>
      </c>
      <c r="E289" s="36"/>
      <c r="F289" s="491"/>
      <c r="G289" s="50"/>
      <c r="H289" s="36"/>
      <c r="I289" s="36"/>
      <c r="J289" s="36"/>
      <c r="L289" s="273"/>
      <c r="M289" s="273"/>
    </row>
    <row r="290" spans="1:13" x14ac:dyDescent="0.25">
      <c r="A290" s="9" t="s">
        <v>628</v>
      </c>
      <c r="B290" s="106">
        <v>99063</v>
      </c>
      <c r="C290" s="9" t="s">
        <v>10</v>
      </c>
      <c r="D290" s="319" t="s">
        <v>48</v>
      </c>
      <c r="E290" s="9" t="s">
        <v>42</v>
      </c>
      <c r="F290" s="497">
        <f>MC!N615</f>
        <v>34.619999999999997</v>
      </c>
      <c r="G290" s="9">
        <v>4.01</v>
      </c>
      <c r="H290" s="419">
        <f t="shared" ref="H290:H302" si="180">G290*$G$5</f>
        <v>0.86</v>
      </c>
      <c r="I290" s="420">
        <f t="shared" ref="I290" si="181">G290+H290</f>
        <v>4.87</v>
      </c>
      <c r="J290" s="421">
        <f t="shared" ref="J290" si="182">I290*F290</f>
        <v>168.6</v>
      </c>
      <c r="L290" s="273"/>
      <c r="M290" s="273"/>
    </row>
    <row r="291" spans="1:13" ht="64.5" x14ac:dyDescent="0.25">
      <c r="A291" s="9" t="s">
        <v>629</v>
      </c>
      <c r="B291" s="50">
        <v>90082</v>
      </c>
      <c r="C291" s="50" t="s">
        <v>10</v>
      </c>
      <c r="D291" s="47" t="s">
        <v>50</v>
      </c>
      <c r="E291" s="50" t="s">
        <v>34</v>
      </c>
      <c r="F291" s="497">
        <f>MC!N618</f>
        <v>77.900000000000006</v>
      </c>
      <c r="G291" s="426">
        <v>7.9</v>
      </c>
      <c r="H291" s="419">
        <f t="shared" si="180"/>
        <v>1.69</v>
      </c>
      <c r="I291" s="420">
        <f t="shared" ref="I291:I302" si="183">G291+H291</f>
        <v>9.59</v>
      </c>
      <c r="J291" s="421">
        <f t="shared" ref="J291:J302" si="184">I291*F291</f>
        <v>747.06</v>
      </c>
      <c r="L291" s="273"/>
      <c r="M291" s="273"/>
    </row>
    <row r="292" spans="1:13" ht="64.5" x14ac:dyDescent="0.25">
      <c r="A292" s="9" t="s">
        <v>630</v>
      </c>
      <c r="B292" s="50">
        <v>90084</v>
      </c>
      <c r="C292" s="50" t="s">
        <v>10</v>
      </c>
      <c r="D292" s="47" t="s">
        <v>51</v>
      </c>
      <c r="E292" s="50" t="s">
        <v>34</v>
      </c>
      <c r="F292" s="497">
        <f>MC!N621</f>
        <v>7.79</v>
      </c>
      <c r="G292" s="9">
        <v>7.65</v>
      </c>
      <c r="H292" s="419">
        <f t="shared" si="180"/>
        <v>1.63</v>
      </c>
      <c r="I292" s="420">
        <f t="shared" si="183"/>
        <v>9.2799999999999994</v>
      </c>
      <c r="J292" s="421">
        <f t="shared" si="184"/>
        <v>72.290000000000006</v>
      </c>
      <c r="L292" s="273"/>
      <c r="M292" s="273"/>
    </row>
    <row r="293" spans="1:13" ht="51.75" x14ac:dyDescent="0.25">
      <c r="A293" s="9" t="s">
        <v>631</v>
      </c>
      <c r="B293" s="106">
        <v>92210</v>
      </c>
      <c r="C293" s="9" t="s">
        <v>10</v>
      </c>
      <c r="D293" s="342" t="s">
        <v>266</v>
      </c>
      <c r="E293" s="9" t="s">
        <v>42</v>
      </c>
      <c r="F293" s="497">
        <f>MC!N624</f>
        <v>34.619999999999997</v>
      </c>
      <c r="G293" s="9">
        <v>107.62</v>
      </c>
      <c r="H293" s="419">
        <f t="shared" si="180"/>
        <v>22.98</v>
      </c>
      <c r="I293" s="420">
        <f t="shared" si="183"/>
        <v>130.6</v>
      </c>
      <c r="J293" s="421">
        <f t="shared" si="184"/>
        <v>4521.37</v>
      </c>
      <c r="L293" s="273"/>
      <c r="M293" s="273"/>
    </row>
    <row r="294" spans="1:13" ht="39" x14ac:dyDescent="0.25">
      <c r="A294" s="9" t="s">
        <v>632</v>
      </c>
      <c r="B294" s="106">
        <v>101620</v>
      </c>
      <c r="C294" s="9" t="s">
        <v>10</v>
      </c>
      <c r="D294" s="342" t="s">
        <v>53</v>
      </c>
      <c r="E294" s="9" t="s">
        <v>34</v>
      </c>
      <c r="F294" s="497">
        <f>MC!N627</f>
        <v>7.79</v>
      </c>
      <c r="G294" s="9">
        <v>155.78</v>
      </c>
      <c r="H294" s="419">
        <f t="shared" si="180"/>
        <v>33.26</v>
      </c>
      <c r="I294" s="420">
        <f t="shared" si="183"/>
        <v>189.04</v>
      </c>
      <c r="J294" s="421">
        <f t="shared" si="184"/>
        <v>1472.62</v>
      </c>
      <c r="L294" s="273"/>
      <c r="M294" s="273"/>
    </row>
    <row r="295" spans="1:13" ht="26.25" x14ac:dyDescent="0.25">
      <c r="A295" s="9" t="s">
        <v>633</v>
      </c>
      <c r="B295" s="106">
        <v>93382</v>
      </c>
      <c r="C295" s="9" t="s">
        <v>10</v>
      </c>
      <c r="D295" s="342" t="s">
        <v>271</v>
      </c>
      <c r="E295" s="9" t="s">
        <v>34</v>
      </c>
      <c r="F295" s="497">
        <f>MC!N630</f>
        <v>71.099999999999994</v>
      </c>
      <c r="G295" s="9">
        <v>22.91</v>
      </c>
      <c r="H295" s="419">
        <f t="shared" si="180"/>
        <v>4.8899999999999997</v>
      </c>
      <c r="I295" s="420">
        <f t="shared" si="183"/>
        <v>27.8</v>
      </c>
      <c r="J295" s="421">
        <f t="shared" si="184"/>
        <v>1976.58</v>
      </c>
      <c r="L295" s="273"/>
      <c r="M295" s="273"/>
    </row>
    <row r="296" spans="1:13" ht="51" x14ac:dyDescent="0.25">
      <c r="A296" s="9" t="s">
        <v>634</v>
      </c>
      <c r="B296" s="106">
        <v>100973</v>
      </c>
      <c r="C296" s="9" t="s">
        <v>10</v>
      </c>
      <c r="D296" s="56" t="s">
        <v>45</v>
      </c>
      <c r="E296" s="9" t="s">
        <v>34</v>
      </c>
      <c r="F296" s="497">
        <f>MC!N633</f>
        <v>14.59</v>
      </c>
      <c r="G296" s="9">
        <v>6.43</v>
      </c>
      <c r="H296" s="419">
        <f t="shared" si="180"/>
        <v>1.37</v>
      </c>
      <c r="I296" s="420">
        <f t="shared" si="183"/>
        <v>7.8</v>
      </c>
      <c r="J296" s="421">
        <f t="shared" si="184"/>
        <v>113.8</v>
      </c>
      <c r="L296" s="273"/>
      <c r="M296" s="273"/>
    </row>
    <row r="297" spans="1:13" ht="25.5" x14ac:dyDescent="0.25">
      <c r="A297" s="9" t="s">
        <v>635</v>
      </c>
      <c r="B297" s="106">
        <v>97913</v>
      </c>
      <c r="C297" s="9" t="s">
        <v>10</v>
      </c>
      <c r="D297" s="56" t="s">
        <v>54</v>
      </c>
      <c r="E297" s="9" t="s">
        <v>55</v>
      </c>
      <c r="F297" s="497">
        <f>MC!N636</f>
        <v>14.59</v>
      </c>
      <c r="G297" s="9">
        <v>2.2799999999999998</v>
      </c>
      <c r="H297" s="419">
        <f t="shared" si="180"/>
        <v>0.49</v>
      </c>
      <c r="I297" s="420">
        <f t="shared" si="183"/>
        <v>2.77</v>
      </c>
      <c r="J297" s="421">
        <f t="shared" si="184"/>
        <v>40.409999999999997</v>
      </c>
      <c r="L297" s="273"/>
      <c r="M297" s="273"/>
    </row>
    <row r="298" spans="1:13" ht="38.25" x14ac:dyDescent="0.25">
      <c r="A298" s="9" t="s">
        <v>636</v>
      </c>
      <c r="B298" s="106">
        <v>101572</v>
      </c>
      <c r="C298" s="9" t="s">
        <v>10</v>
      </c>
      <c r="D298" s="104" t="s">
        <v>275</v>
      </c>
      <c r="E298" s="347" t="s">
        <v>30</v>
      </c>
      <c r="F298" s="497">
        <f>MC!N639</f>
        <v>103.86</v>
      </c>
      <c r="G298" s="9">
        <v>13.11</v>
      </c>
      <c r="H298" s="419">
        <f t="shared" si="180"/>
        <v>2.8</v>
      </c>
      <c r="I298" s="420">
        <f t="shared" si="183"/>
        <v>15.91</v>
      </c>
      <c r="J298" s="421">
        <f t="shared" si="184"/>
        <v>1652.41</v>
      </c>
      <c r="L298" s="273"/>
      <c r="M298" s="273"/>
    </row>
    <row r="299" spans="1:13" ht="51.6" customHeight="1" x14ac:dyDescent="0.25">
      <c r="A299" s="9" t="s">
        <v>637</v>
      </c>
      <c r="B299" s="106">
        <v>99241</v>
      </c>
      <c r="C299" s="9" t="s">
        <v>10</v>
      </c>
      <c r="D299" s="56" t="s">
        <v>58</v>
      </c>
      <c r="E299" s="9" t="s">
        <v>42</v>
      </c>
      <c r="F299" s="497">
        <f>MC!N642</f>
        <v>1.8</v>
      </c>
      <c r="G299" s="9">
        <v>1218.05</v>
      </c>
      <c r="H299" s="419">
        <f t="shared" si="180"/>
        <v>260.05</v>
      </c>
      <c r="I299" s="420">
        <f t="shared" si="183"/>
        <v>1478.1</v>
      </c>
      <c r="J299" s="421">
        <f t="shared" si="184"/>
        <v>2660.58</v>
      </c>
      <c r="L299" s="273"/>
      <c r="M299" s="273"/>
    </row>
    <row r="300" spans="1:13" ht="39" x14ac:dyDescent="0.25">
      <c r="A300" s="9" t="s">
        <v>638</v>
      </c>
      <c r="B300" s="106">
        <v>97961</v>
      </c>
      <c r="C300" s="9" t="s">
        <v>10</v>
      </c>
      <c r="D300" s="342" t="s">
        <v>273</v>
      </c>
      <c r="E300" s="9" t="s">
        <v>57</v>
      </c>
      <c r="F300" s="497">
        <f>MC!N645</f>
        <v>3</v>
      </c>
      <c r="G300" s="9">
        <v>1668.77</v>
      </c>
      <c r="H300" s="419">
        <f t="shared" si="180"/>
        <v>356.28</v>
      </c>
      <c r="I300" s="420">
        <f t="shared" si="183"/>
        <v>2025.05</v>
      </c>
      <c r="J300" s="421">
        <f t="shared" si="184"/>
        <v>6075.15</v>
      </c>
      <c r="L300" s="273"/>
      <c r="M300" s="273"/>
    </row>
    <row r="301" spans="1:13" ht="45.6" customHeight="1" x14ac:dyDescent="0.25">
      <c r="A301" s="9" t="s">
        <v>639</v>
      </c>
      <c r="B301" s="106">
        <v>97973</v>
      </c>
      <c r="C301" s="9" t="s">
        <v>10</v>
      </c>
      <c r="D301" s="342" t="s">
        <v>445</v>
      </c>
      <c r="E301" s="9" t="s">
        <v>57</v>
      </c>
      <c r="F301" s="497">
        <f>MC!N648</f>
        <v>3</v>
      </c>
      <c r="G301" s="9">
        <v>3194.57</v>
      </c>
      <c r="H301" s="419">
        <f t="shared" si="180"/>
        <v>682.04</v>
      </c>
      <c r="I301" s="420">
        <f t="shared" si="183"/>
        <v>3876.61</v>
      </c>
      <c r="J301" s="421">
        <f t="shared" si="184"/>
        <v>11629.83</v>
      </c>
      <c r="L301" s="273"/>
      <c r="M301" s="273"/>
    </row>
    <row r="302" spans="1:13" ht="39" x14ac:dyDescent="0.25">
      <c r="A302" s="9" t="s">
        <v>640</v>
      </c>
      <c r="B302" s="828" t="s">
        <v>835</v>
      </c>
      <c r="C302" s="829"/>
      <c r="D302" s="342" t="s">
        <v>274</v>
      </c>
      <c r="E302" s="9" t="s">
        <v>57</v>
      </c>
      <c r="F302" s="497">
        <f>MC!N651</f>
        <v>3</v>
      </c>
      <c r="G302" s="9">
        <f>COMPOSIÇÕES!J92</f>
        <v>810.41</v>
      </c>
      <c r="H302" s="419">
        <f t="shared" si="180"/>
        <v>173.02</v>
      </c>
      <c r="I302" s="420">
        <f t="shared" si="183"/>
        <v>983.43</v>
      </c>
      <c r="J302" s="421">
        <f t="shared" si="184"/>
        <v>2950.29</v>
      </c>
      <c r="L302" s="273"/>
      <c r="M302" s="273"/>
    </row>
    <row r="303" spans="1:13" x14ac:dyDescent="0.25">
      <c r="A303" s="44"/>
      <c r="B303" s="36"/>
      <c r="C303" s="36"/>
      <c r="D303" s="45"/>
      <c r="E303" s="36"/>
      <c r="F303" s="491"/>
      <c r="G303" s="50"/>
      <c r="H303" s="299"/>
      <c r="I303" s="36"/>
      <c r="J303" s="348"/>
      <c r="L303" s="273"/>
      <c r="M303" s="273"/>
    </row>
    <row r="304" spans="1:13" x14ac:dyDescent="0.25">
      <c r="A304" s="293" t="s">
        <v>377</v>
      </c>
      <c r="B304" s="825" t="s">
        <v>459</v>
      </c>
      <c r="C304" s="826"/>
      <c r="D304" s="826"/>
      <c r="E304" s="826"/>
      <c r="F304" s="826"/>
      <c r="G304" s="826"/>
      <c r="H304" s="826"/>
      <c r="I304" s="827"/>
      <c r="J304" s="294">
        <f>SUM(J305:J315)</f>
        <v>98542.29</v>
      </c>
      <c r="L304" s="273"/>
      <c r="M304" s="273"/>
    </row>
    <row r="305" spans="1:14" x14ac:dyDescent="0.25">
      <c r="A305" s="295" t="s">
        <v>378</v>
      </c>
      <c r="B305" s="296"/>
      <c r="C305" s="296"/>
      <c r="D305" s="296" t="s">
        <v>33</v>
      </c>
      <c r="E305" s="297"/>
      <c r="F305" s="499"/>
      <c r="G305" s="291"/>
      <c r="H305" s="297"/>
      <c r="I305" s="297"/>
      <c r="J305" s="297"/>
      <c r="L305" s="273"/>
      <c r="M305" s="273"/>
    </row>
    <row r="306" spans="1:14" ht="25.5" x14ac:dyDescent="0.25">
      <c r="A306" s="291" t="s">
        <v>379</v>
      </c>
      <c r="B306" s="18">
        <v>101114</v>
      </c>
      <c r="C306" s="18" t="s">
        <v>10</v>
      </c>
      <c r="D306" s="48" t="s">
        <v>270</v>
      </c>
      <c r="E306" s="18" t="s">
        <v>34</v>
      </c>
      <c r="F306" s="500">
        <f>MC!N656</f>
        <v>69.64</v>
      </c>
      <c r="G306" s="50">
        <v>2.94</v>
      </c>
      <c r="H306" s="419">
        <f t="shared" ref="H306:H308" si="185">G306*$G$5</f>
        <v>0.63</v>
      </c>
      <c r="I306" s="420">
        <f t="shared" ref="I306" si="186">G306+H306</f>
        <v>3.57</v>
      </c>
      <c r="J306" s="421">
        <f t="shared" ref="J306" si="187">I306*F306</f>
        <v>248.61</v>
      </c>
      <c r="L306" s="273"/>
      <c r="M306" s="273"/>
    </row>
    <row r="307" spans="1:14" ht="51" x14ac:dyDescent="0.25">
      <c r="A307" s="414" t="s">
        <v>380</v>
      </c>
      <c r="B307" s="291">
        <v>100973</v>
      </c>
      <c r="C307" s="291" t="s">
        <v>10</v>
      </c>
      <c r="D307" s="41" t="s">
        <v>45</v>
      </c>
      <c r="E307" s="291" t="s">
        <v>34</v>
      </c>
      <c r="F307" s="500">
        <f>MC!N659</f>
        <v>87.05</v>
      </c>
      <c r="G307" s="50">
        <v>6.43</v>
      </c>
      <c r="H307" s="419">
        <f t="shared" si="185"/>
        <v>1.37</v>
      </c>
      <c r="I307" s="420">
        <f t="shared" ref="I307:I308" si="188">G307+H307</f>
        <v>7.8</v>
      </c>
      <c r="J307" s="421">
        <f t="shared" ref="J307:J308" si="189">I307*F307</f>
        <v>678.99</v>
      </c>
      <c r="L307" s="273"/>
      <c r="M307" s="273"/>
    </row>
    <row r="308" spans="1:14" ht="38.25" x14ac:dyDescent="0.25">
      <c r="A308" s="414" t="s">
        <v>381</v>
      </c>
      <c r="B308" s="18">
        <v>95875</v>
      </c>
      <c r="C308" s="18" t="s">
        <v>10</v>
      </c>
      <c r="D308" s="49" t="s">
        <v>35</v>
      </c>
      <c r="E308" s="18" t="s">
        <v>36</v>
      </c>
      <c r="F308" s="500">
        <f>MC!N662</f>
        <v>435.25</v>
      </c>
      <c r="G308" s="50">
        <v>1.75</v>
      </c>
      <c r="H308" s="419">
        <f t="shared" si="185"/>
        <v>0.37</v>
      </c>
      <c r="I308" s="420">
        <f t="shared" si="188"/>
        <v>2.12</v>
      </c>
      <c r="J308" s="421">
        <f t="shared" si="189"/>
        <v>922.73</v>
      </c>
      <c r="L308" s="273"/>
      <c r="M308" s="273"/>
    </row>
    <row r="309" spans="1:14" x14ac:dyDescent="0.25">
      <c r="A309" s="297"/>
      <c r="B309" s="297"/>
      <c r="C309" s="297"/>
      <c r="D309" s="297"/>
      <c r="E309" s="297"/>
      <c r="F309" s="500"/>
      <c r="G309" s="50"/>
      <c r="H309" s="297"/>
      <c r="I309" s="297"/>
      <c r="J309" s="297"/>
      <c r="L309" s="273"/>
      <c r="M309" s="273"/>
    </row>
    <row r="310" spans="1:14" x14ac:dyDescent="0.25">
      <c r="A310" s="295" t="s">
        <v>382</v>
      </c>
      <c r="B310" s="296"/>
      <c r="C310" s="296"/>
      <c r="D310" s="296" t="s">
        <v>40</v>
      </c>
      <c r="E310" s="297"/>
      <c r="F310" s="500"/>
      <c r="G310" s="50"/>
      <c r="H310" s="297"/>
      <c r="I310" s="297"/>
      <c r="J310" s="297"/>
      <c r="L310" s="273"/>
      <c r="M310" s="273"/>
    </row>
    <row r="311" spans="1:14" x14ac:dyDescent="0.25">
      <c r="A311" s="291" t="s">
        <v>383</v>
      </c>
      <c r="B311" s="9">
        <v>99064</v>
      </c>
      <c r="C311" s="10" t="s">
        <v>10</v>
      </c>
      <c r="D311" s="41" t="s">
        <v>41</v>
      </c>
      <c r="E311" s="290" t="s">
        <v>42</v>
      </c>
      <c r="F311" s="500">
        <f>MC!N666</f>
        <v>138.75</v>
      </c>
      <c r="G311" s="50">
        <v>0.49</v>
      </c>
      <c r="H311" s="419">
        <f t="shared" ref="H311:H314" si="190">G311*$G$5</f>
        <v>0.1</v>
      </c>
      <c r="I311" s="420">
        <f t="shared" ref="I311" si="191">G311+H311</f>
        <v>0.59</v>
      </c>
      <c r="J311" s="421">
        <f t="shared" ref="J311" si="192">I311*F311</f>
        <v>81.86</v>
      </c>
      <c r="L311" s="273"/>
      <c r="M311" s="273"/>
    </row>
    <row r="312" spans="1:14" ht="25.5" x14ac:dyDescent="0.25">
      <c r="A312" s="414" t="s">
        <v>384</v>
      </c>
      <c r="B312" s="18">
        <v>100577</v>
      </c>
      <c r="C312" s="18" t="s">
        <v>37</v>
      </c>
      <c r="D312" s="38" t="s">
        <v>38</v>
      </c>
      <c r="E312" s="18" t="s">
        <v>30</v>
      </c>
      <c r="F312" s="500">
        <f>MC!N668</f>
        <v>930.55</v>
      </c>
      <c r="G312" s="50">
        <v>0.8</v>
      </c>
      <c r="H312" s="419">
        <f t="shared" si="190"/>
        <v>0.17</v>
      </c>
      <c r="I312" s="420">
        <f t="shared" ref="I312:I314" si="193">G312+H312</f>
        <v>0.97</v>
      </c>
      <c r="J312" s="421">
        <f t="shared" ref="J312:J314" si="194">I312*F312</f>
        <v>902.63</v>
      </c>
      <c r="K312" s="108"/>
      <c r="L312" s="273"/>
      <c r="M312" s="273"/>
    </row>
    <row r="313" spans="1:14" ht="38.25" x14ac:dyDescent="0.25">
      <c r="A313" s="18" t="s">
        <v>385</v>
      </c>
      <c r="B313" s="818" t="s">
        <v>748</v>
      </c>
      <c r="C313" s="819"/>
      <c r="D313" s="11" t="s">
        <v>44</v>
      </c>
      <c r="E313" s="18" t="s">
        <v>30</v>
      </c>
      <c r="F313" s="496">
        <f>MC!N671</f>
        <v>930.55</v>
      </c>
      <c r="G313" s="302">
        <f>COMPOSIÇÕES!J82</f>
        <v>68.89</v>
      </c>
      <c r="H313" s="419">
        <f t="shared" si="190"/>
        <v>14.71</v>
      </c>
      <c r="I313" s="420">
        <f t="shared" si="193"/>
        <v>83.6</v>
      </c>
      <c r="J313" s="421">
        <f t="shared" si="194"/>
        <v>77793.98</v>
      </c>
      <c r="K313" s="108"/>
      <c r="L313" s="273"/>
      <c r="M313" s="273"/>
      <c r="N313" s="108"/>
    </row>
    <row r="314" spans="1:14" ht="63.75" x14ac:dyDescent="0.25">
      <c r="A314" s="414" t="s">
        <v>386</v>
      </c>
      <c r="B314" s="291">
        <v>94273</v>
      </c>
      <c r="C314" s="291" t="s">
        <v>10</v>
      </c>
      <c r="D314" s="41" t="s">
        <v>49</v>
      </c>
      <c r="E314" s="291" t="s">
        <v>42</v>
      </c>
      <c r="F314" s="500">
        <f>MC!N674</f>
        <v>290.05</v>
      </c>
      <c r="G314" s="61">
        <v>50.89</v>
      </c>
      <c r="H314" s="419">
        <f t="shared" si="190"/>
        <v>10.87</v>
      </c>
      <c r="I314" s="420">
        <f t="shared" si="193"/>
        <v>61.76</v>
      </c>
      <c r="J314" s="421">
        <f t="shared" si="194"/>
        <v>17913.490000000002</v>
      </c>
      <c r="L314" s="273"/>
      <c r="M314" s="273"/>
    </row>
    <row r="315" spans="1:14" x14ac:dyDescent="0.25">
      <c r="A315" s="297"/>
      <c r="B315" s="297"/>
      <c r="C315" s="297"/>
      <c r="D315" s="297"/>
      <c r="E315" s="297"/>
      <c r="F315" s="499"/>
      <c r="G315" s="291"/>
      <c r="H315" s="297"/>
      <c r="I315" s="297"/>
      <c r="J315" s="297"/>
      <c r="L315" s="273"/>
      <c r="M315" s="273"/>
    </row>
    <row r="316" spans="1:14" x14ac:dyDescent="0.25">
      <c r="A316" s="293" t="s">
        <v>387</v>
      </c>
      <c r="B316" s="825" t="s">
        <v>460</v>
      </c>
      <c r="C316" s="826"/>
      <c r="D316" s="826"/>
      <c r="E316" s="826"/>
      <c r="F316" s="826"/>
      <c r="G316" s="826"/>
      <c r="H316" s="826"/>
      <c r="I316" s="827"/>
      <c r="J316" s="294">
        <f>SUM(J317:J343)</f>
        <v>179409.75</v>
      </c>
      <c r="L316" s="273"/>
      <c r="M316" s="273"/>
    </row>
    <row r="317" spans="1:14" x14ac:dyDescent="0.25">
      <c r="A317" s="295" t="s">
        <v>388</v>
      </c>
      <c r="B317" s="296"/>
      <c r="C317" s="296"/>
      <c r="D317" s="296" t="s">
        <v>33</v>
      </c>
      <c r="E317" s="297"/>
      <c r="F317" s="499"/>
      <c r="G317" s="291"/>
      <c r="H317" s="297"/>
      <c r="I317" s="297"/>
      <c r="J317" s="297"/>
      <c r="L317" s="273"/>
      <c r="M317" s="273"/>
    </row>
    <row r="318" spans="1:14" ht="25.5" x14ac:dyDescent="0.25">
      <c r="A318" s="291" t="s">
        <v>389</v>
      </c>
      <c r="B318" s="18">
        <v>101114</v>
      </c>
      <c r="C318" s="18" t="s">
        <v>10</v>
      </c>
      <c r="D318" s="48" t="s">
        <v>270</v>
      </c>
      <c r="E318" s="18" t="s">
        <v>34</v>
      </c>
      <c r="F318" s="500">
        <f>MC!N679</f>
        <v>69.64</v>
      </c>
      <c r="G318" s="50">
        <v>2.94</v>
      </c>
      <c r="H318" s="419">
        <f t="shared" ref="H318:H320" si="195">G318*$G$5</f>
        <v>0.63</v>
      </c>
      <c r="I318" s="420">
        <f t="shared" ref="I318" si="196">G318+H318</f>
        <v>3.57</v>
      </c>
      <c r="J318" s="421">
        <f t="shared" ref="J318" si="197">I318*F318</f>
        <v>248.61</v>
      </c>
      <c r="L318" s="273"/>
      <c r="M318" s="273"/>
    </row>
    <row r="319" spans="1:14" ht="51" x14ac:dyDescent="0.25">
      <c r="A319" s="414" t="s">
        <v>390</v>
      </c>
      <c r="B319" s="291">
        <v>100973</v>
      </c>
      <c r="C319" s="291" t="s">
        <v>10</v>
      </c>
      <c r="D319" s="41" t="s">
        <v>45</v>
      </c>
      <c r="E319" s="291" t="s">
        <v>34</v>
      </c>
      <c r="F319" s="500">
        <f>MC!N682</f>
        <v>87.05</v>
      </c>
      <c r="G319" s="50">
        <v>6.43</v>
      </c>
      <c r="H319" s="419">
        <f t="shared" si="195"/>
        <v>1.37</v>
      </c>
      <c r="I319" s="420">
        <f t="shared" ref="I319:I320" si="198">G319+H319</f>
        <v>7.8</v>
      </c>
      <c r="J319" s="421">
        <f t="shared" ref="J319:J320" si="199">I319*F319</f>
        <v>678.99</v>
      </c>
      <c r="L319" s="273"/>
      <c r="M319" s="273"/>
    </row>
    <row r="320" spans="1:14" ht="38.25" x14ac:dyDescent="0.25">
      <c r="A320" s="414" t="s">
        <v>391</v>
      </c>
      <c r="B320" s="18">
        <v>95875</v>
      </c>
      <c r="C320" s="18" t="s">
        <v>10</v>
      </c>
      <c r="D320" s="49" t="s">
        <v>35</v>
      </c>
      <c r="E320" s="18" t="s">
        <v>36</v>
      </c>
      <c r="F320" s="500">
        <f>MC!N685</f>
        <v>435.25</v>
      </c>
      <c r="G320" s="50">
        <v>1.75</v>
      </c>
      <c r="H320" s="419">
        <f t="shared" si="195"/>
        <v>0.37</v>
      </c>
      <c r="I320" s="420">
        <f t="shared" si="198"/>
        <v>2.12</v>
      </c>
      <c r="J320" s="421">
        <f t="shared" si="199"/>
        <v>922.73</v>
      </c>
      <c r="L320" s="273"/>
      <c r="M320" s="273"/>
    </row>
    <row r="321" spans="1:14" x14ac:dyDescent="0.25">
      <c r="A321" s="297"/>
      <c r="B321" s="297"/>
      <c r="C321" s="297"/>
      <c r="D321" s="297"/>
      <c r="E321" s="297"/>
      <c r="F321" s="500"/>
      <c r="G321" s="50"/>
      <c r="H321" s="297"/>
      <c r="I321" s="297"/>
      <c r="J321" s="297"/>
      <c r="L321" s="273"/>
      <c r="M321" s="273"/>
    </row>
    <row r="322" spans="1:14" x14ac:dyDescent="0.25">
      <c r="A322" s="295" t="s">
        <v>392</v>
      </c>
      <c r="B322" s="296"/>
      <c r="C322" s="296"/>
      <c r="D322" s="296" t="s">
        <v>40</v>
      </c>
      <c r="E322" s="297"/>
      <c r="F322" s="500"/>
      <c r="G322" s="50"/>
      <c r="H322" s="297"/>
      <c r="I322" s="297"/>
      <c r="J322" s="297"/>
      <c r="L322" s="273"/>
      <c r="M322" s="273"/>
    </row>
    <row r="323" spans="1:14" x14ac:dyDescent="0.25">
      <c r="A323" s="291" t="s">
        <v>393</v>
      </c>
      <c r="B323" s="9">
        <v>99064</v>
      </c>
      <c r="C323" s="10" t="s">
        <v>10</v>
      </c>
      <c r="D323" s="41" t="s">
        <v>41</v>
      </c>
      <c r="E323" s="290" t="s">
        <v>42</v>
      </c>
      <c r="F323" s="500">
        <f>MC!N689</f>
        <v>116.07</v>
      </c>
      <c r="G323" s="50">
        <v>0.49</v>
      </c>
      <c r="H323" s="419">
        <f t="shared" ref="H323:H326" si="200">G323*$G$5</f>
        <v>0.1</v>
      </c>
      <c r="I323" s="420">
        <f t="shared" ref="I323" si="201">G323+H323</f>
        <v>0.59</v>
      </c>
      <c r="J323" s="421">
        <f t="shared" ref="J323" si="202">I323*F323</f>
        <v>68.48</v>
      </c>
      <c r="L323" s="273"/>
      <c r="M323" s="273"/>
    </row>
    <row r="324" spans="1:14" ht="25.5" x14ac:dyDescent="0.25">
      <c r="A324" s="414" t="s">
        <v>394</v>
      </c>
      <c r="B324" s="18">
        <v>100577</v>
      </c>
      <c r="C324" s="18" t="s">
        <v>37</v>
      </c>
      <c r="D324" s="38" t="s">
        <v>38</v>
      </c>
      <c r="E324" s="18" t="s">
        <v>30</v>
      </c>
      <c r="F324" s="500">
        <f>MC!N691</f>
        <v>1093.8</v>
      </c>
      <c r="G324" s="50">
        <v>0.8</v>
      </c>
      <c r="H324" s="419">
        <f t="shared" si="200"/>
        <v>0.17</v>
      </c>
      <c r="I324" s="420">
        <f t="shared" ref="I324:I326" si="203">G324+H324</f>
        <v>0.97</v>
      </c>
      <c r="J324" s="421">
        <f t="shared" ref="J324:J326" si="204">I324*F324</f>
        <v>1060.99</v>
      </c>
      <c r="K324" s="108"/>
      <c r="L324" s="273"/>
      <c r="M324" s="273"/>
    </row>
    <row r="325" spans="1:14" ht="38.25" x14ac:dyDescent="0.25">
      <c r="A325" s="18" t="s">
        <v>395</v>
      </c>
      <c r="B325" s="818" t="s">
        <v>748</v>
      </c>
      <c r="C325" s="819"/>
      <c r="D325" s="11" t="s">
        <v>44</v>
      </c>
      <c r="E325" s="18" t="s">
        <v>30</v>
      </c>
      <c r="F325" s="496">
        <f>MC!N694</f>
        <v>1093.8</v>
      </c>
      <c r="G325" s="302">
        <f>COMPOSIÇÕES!J82</f>
        <v>68.89</v>
      </c>
      <c r="H325" s="419">
        <f t="shared" si="200"/>
        <v>14.71</v>
      </c>
      <c r="I325" s="420">
        <f t="shared" si="203"/>
        <v>83.6</v>
      </c>
      <c r="J325" s="421">
        <f t="shared" si="204"/>
        <v>91441.68</v>
      </c>
      <c r="K325" s="108"/>
      <c r="L325" s="273"/>
      <c r="M325" s="273"/>
      <c r="N325" s="108"/>
    </row>
    <row r="326" spans="1:14" ht="63.75" x14ac:dyDescent="0.25">
      <c r="A326" s="18" t="s">
        <v>396</v>
      </c>
      <c r="B326" s="18">
        <v>94273</v>
      </c>
      <c r="C326" s="18" t="s">
        <v>10</v>
      </c>
      <c r="D326" s="11" t="s">
        <v>49</v>
      </c>
      <c r="E326" s="18" t="s">
        <v>42</v>
      </c>
      <c r="F326" s="496">
        <f>MC!N697</f>
        <v>335.93</v>
      </c>
      <c r="G326" s="61">
        <v>50.89</v>
      </c>
      <c r="H326" s="419">
        <f t="shared" si="200"/>
        <v>10.87</v>
      </c>
      <c r="I326" s="420">
        <f t="shared" si="203"/>
        <v>61.76</v>
      </c>
      <c r="J326" s="421">
        <f t="shared" si="204"/>
        <v>20747.04</v>
      </c>
      <c r="L326" s="273"/>
      <c r="M326" s="273"/>
    </row>
    <row r="327" spans="1:14" x14ac:dyDescent="0.25">
      <c r="A327" s="297"/>
      <c r="B327" s="297"/>
      <c r="C327" s="297"/>
      <c r="D327" s="297"/>
      <c r="E327" s="297"/>
      <c r="F327" s="499"/>
      <c r="G327" s="291"/>
      <c r="H327" s="297"/>
      <c r="I327" s="297"/>
      <c r="J327" s="297"/>
      <c r="L327" s="273"/>
      <c r="M327" s="273"/>
    </row>
    <row r="328" spans="1:14" x14ac:dyDescent="0.25">
      <c r="A328" s="292" t="s">
        <v>397</v>
      </c>
      <c r="B328" s="296"/>
      <c r="C328" s="296"/>
      <c r="D328" s="300" t="s">
        <v>47</v>
      </c>
      <c r="E328" s="297"/>
      <c r="F328" s="499"/>
      <c r="G328" s="291"/>
      <c r="H328" s="297"/>
      <c r="I328" s="297"/>
      <c r="J328" s="297"/>
      <c r="L328" s="273"/>
      <c r="M328" s="273"/>
    </row>
    <row r="329" spans="1:14" x14ac:dyDescent="0.25">
      <c r="A329" s="323" t="s">
        <v>398</v>
      </c>
      <c r="B329" s="340">
        <v>99063</v>
      </c>
      <c r="C329" s="50" t="s">
        <v>10</v>
      </c>
      <c r="D329" s="36" t="s">
        <v>48</v>
      </c>
      <c r="E329" s="50" t="s">
        <v>42</v>
      </c>
      <c r="F329" s="501">
        <f>MC!N701</f>
        <v>119.92</v>
      </c>
      <c r="G329" s="323">
        <v>4.01</v>
      </c>
      <c r="H329" s="419">
        <f t="shared" ref="H329:H342" si="205">G329*$G$5</f>
        <v>0.86</v>
      </c>
      <c r="I329" s="420">
        <f t="shared" ref="I329" si="206">G329+H329</f>
        <v>4.87</v>
      </c>
      <c r="J329" s="421">
        <f t="shared" ref="J329" si="207">I329*F329</f>
        <v>584.01</v>
      </c>
      <c r="L329" s="273"/>
      <c r="M329" s="273"/>
    </row>
    <row r="330" spans="1:14" ht="64.5" x14ac:dyDescent="0.25">
      <c r="A330" s="414" t="s">
        <v>399</v>
      </c>
      <c r="B330" s="50">
        <v>90082</v>
      </c>
      <c r="C330" s="50" t="s">
        <v>10</v>
      </c>
      <c r="D330" s="47" t="s">
        <v>50</v>
      </c>
      <c r="E330" s="50" t="s">
        <v>34</v>
      </c>
      <c r="F330" s="501">
        <f>MC!N704</f>
        <v>269.83</v>
      </c>
      <c r="G330" s="298">
        <v>7.9</v>
      </c>
      <c r="H330" s="419">
        <f t="shared" si="205"/>
        <v>1.69</v>
      </c>
      <c r="I330" s="420">
        <f t="shared" ref="I330:I342" si="208">G330+H330</f>
        <v>9.59</v>
      </c>
      <c r="J330" s="421">
        <f t="shared" ref="J330:J342" si="209">I330*F330</f>
        <v>2587.67</v>
      </c>
      <c r="L330" s="273"/>
      <c r="M330" s="273"/>
    </row>
    <row r="331" spans="1:14" ht="64.5" x14ac:dyDescent="0.25">
      <c r="A331" s="414" t="s">
        <v>400</v>
      </c>
      <c r="B331" s="50">
        <v>90084</v>
      </c>
      <c r="C331" s="50" t="s">
        <v>10</v>
      </c>
      <c r="D331" s="47" t="s">
        <v>51</v>
      </c>
      <c r="E331" s="50" t="s">
        <v>34</v>
      </c>
      <c r="F331" s="501">
        <f>MC!N707</f>
        <v>271.14</v>
      </c>
      <c r="G331" s="410">
        <v>7.65</v>
      </c>
      <c r="H331" s="419">
        <f t="shared" si="205"/>
        <v>1.63</v>
      </c>
      <c r="I331" s="420">
        <f t="shared" si="208"/>
        <v>9.2799999999999994</v>
      </c>
      <c r="J331" s="421">
        <f t="shared" si="209"/>
        <v>2516.1799999999998</v>
      </c>
      <c r="L331" s="273"/>
      <c r="M331" s="273"/>
    </row>
    <row r="332" spans="1:14" ht="51.75" x14ac:dyDescent="0.25">
      <c r="A332" s="414" t="s">
        <v>401</v>
      </c>
      <c r="B332" s="341">
        <v>92212</v>
      </c>
      <c r="C332" s="323" t="s">
        <v>10</v>
      </c>
      <c r="D332" s="57" t="s">
        <v>52</v>
      </c>
      <c r="E332" s="323" t="s">
        <v>42</v>
      </c>
      <c r="F332" s="501">
        <f>MC!N711</f>
        <v>21.92</v>
      </c>
      <c r="G332" s="323">
        <v>190.42</v>
      </c>
      <c r="H332" s="419">
        <f t="shared" si="205"/>
        <v>40.65</v>
      </c>
      <c r="I332" s="420">
        <f>G332+H332</f>
        <v>231.07</v>
      </c>
      <c r="J332" s="421">
        <f t="shared" si="209"/>
        <v>5065.05</v>
      </c>
      <c r="L332" s="273"/>
      <c r="M332" s="273"/>
    </row>
    <row r="333" spans="1:14" ht="51.75" x14ac:dyDescent="0.25">
      <c r="A333" s="414" t="s">
        <v>402</v>
      </c>
      <c r="B333" s="341">
        <v>92210</v>
      </c>
      <c r="C333" s="323" t="s">
        <v>10</v>
      </c>
      <c r="D333" s="57" t="s">
        <v>266</v>
      </c>
      <c r="E333" s="323" t="s">
        <v>42</v>
      </c>
      <c r="F333" s="501">
        <f>MC!N714</f>
        <v>98</v>
      </c>
      <c r="G333" s="323">
        <v>107.62</v>
      </c>
      <c r="H333" s="419">
        <f t="shared" si="205"/>
        <v>22.98</v>
      </c>
      <c r="I333" s="420">
        <f t="shared" si="208"/>
        <v>130.6</v>
      </c>
      <c r="J333" s="421">
        <f t="shared" si="209"/>
        <v>12798.8</v>
      </c>
      <c r="L333" s="273"/>
      <c r="M333" s="273"/>
    </row>
    <row r="334" spans="1:14" ht="39" x14ac:dyDescent="0.25">
      <c r="A334" s="414" t="s">
        <v>403</v>
      </c>
      <c r="B334" s="340">
        <v>101620</v>
      </c>
      <c r="C334" s="50" t="s">
        <v>10</v>
      </c>
      <c r="D334" s="47" t="s">
        <v>53</v>
      </c>
      <c r="E334" s="50" t="s">
        <v>34</v>
      </c>
      <c r="F334" s="501">
        <f>MC!N717</f>
        <v>26.98</v>
      </c>
      <c r="G334" s="323">
        <v>155.78</v>
      </c>
      <c r="H334" s="419">
        <f t="shared" si="205"/>
        <v>33.26</v>
      </c>
      <c r="I334" s="420">
        <f>G334+H334</f>
        <v>189.04</v>
      </c>
      <c r="J334" s="421">
        <f t="shared" si="209"/>
        <v>5100.3</v>
      </c>
      <c r="L334" s="273"/>
      <c r="M334" s="273"/>
    </row>
    <row r="335" spans="1:14" ht="26.25" x14ac:dyDescent="0.25">
      <c r="A335" s="414" t="s">
        <v>404</v>
      </c>
      <c r="B335" s="341">
        <v>93382</v>
      </c>
      <c r="C335" s="323" t="s">
        <v>10</v>
      </c>
      <c r="D335" s="57" t="s">
        <v>271</v>
      </c>
      <c r="E335" s="323" t="s">
        <v>34</v>
      </c>
      <c r="F335" s="501">
        <f>MC!N720</f>
        <v>471.98</v>
      </c>
      <c r="G335" s="323">
        <v>22.91</v>
      </c>
      <c r="H335" s="419">
        <f t="shared" si="205"/>
        <v>4.8899999999999997</v>
      </c>
      <c r="I335" s="420">
        <f t="shared" si="208"/>
        <v>27.8</v>
      </c>
      <c r="J335" s="421">
        <f t="shared" si="209"/>
        <v>13121.04</v>
      </c>
      <c r="L335" s="273"/>
      <c r="M335" s="273"/>
    </row>
    <row r="336" spans="1:14" ht="51" x14ac:dyDescent="0.25">
      <c r="A336" s="414" t="s">
        <v>405</v>
      </c>
      <c r="B336" s="341">
        <v>100973</v>
      </c>
      <c r="C336" s="323" t="s">
        <v>10</v>
      </c>
      <c r="D336" s="41" t="s">
        <v>45</v>
      </c>
      <c r="E336" s="323" t="s">
        <v>34</v>
      </c>
      <c r="F336" s="501">
        <f>MC!N723</f>
        <v>68.989999999999995</v>
      </c>
      <c r="G336" s="323">
        <v>6.43</v>
      </c>
      <c r="H336" s="419">
        <f t="shared" si="205"/>
        <v>1.37</v>
      </c>
      <c r="I336" s="420">
        <f t="shared" si="208"/>
        <v>7.8</v>
      </c>
      <c r="J336" s="421">
        <f t="shared" si="209"/>
        <v>538.12</v>
      </c>
      <c r="L336" s="273"/>
      <c r="M336" s="273"/>
    </row>
    <row r="337" spans="1:13" ht="25.5" x14ac:dyDescent="0.25">
      <c r="A337" s="414" t="s">
        <v>472</v>
      </c>
      <c r="B337" s="340">
        <v>97913</v>
      </c>
      <c r="C337" s="323" t="s">
        <v>10</v>
      </c>
      <c r="D337" s="39" t="s">
        <v>54</v>
      </c>
      <c r="E337" s="50" t="s">
        <v>55</v>
      </c>
      <c r="F337" s="501">
        <f>MC!N726</f>
        <v>431.19</v>
      </c>
      <c r="G337" s="323">
        <v>2.2799999999999998</v>
      </c>
      <c r="H337" s="419">
        <f t="shared" si="205"/>
        <v>0.49</v>
      </c>
      <c r="I337" s="420">
        <f t="shared" si="208"/>
        <v>2.77</v>
      </c>
      <c r="J337" s="421">
        <f t="shared" si="209"/>
        <v>1194.4000000000001</v>
      </c>
      <c r="L337" s="273"/>
      <c r="M337" s="273"/>
    </row>
    <row r="338" spans="1:13" ht="38.25" x14ac:dyDescent="0.25">
      <c r="A338" s="414" t="s">
        <v>473</v>
      </c>
      <c r="B338" s="341" t="s">
        <v>691</v>
      </c>
      <c r="C338" s="323" t="s">
        <v>10</v>
      </c>
      <c r="D338" s="104" t="s">
        <v>272</v>
      </c>
      <c r="E338" s="105" t="s">
        <v>30</v>
      </c>
      <c r="F338" s="501">
        <f>MC!N729</f>
        <v>685.29</v>
      </c>
      <c r="G338" s="323">
        <v>13.11</v>
      </c>
      <c r="H338" s="419">
        <f t="shared" si="205"/>
        <v>2.8</v>
      </c>
      <c r="I338" s="420">
        <f t="shared" si="208"/>
        <v>15.91</v>
      </c>
      <c r="J338" s="421">
        <f t="shared" si="209"/>
        <v>10902.96</v>
      </c>
      <c r="L338" s="273"/>
      <c r="M338" s="273"/>
    </row>
    <row r="339" spans="1:13" ht="51" x14ac:dyDescent="0.25">
      <c r="A339" s="414" t="s">
        <v>474</v>
      </c>
      <c r="B339" s="340">
        <v>99290</v>
      </c>
      <c r="C339" s="323" t="s">
        <v>10</v>
      </c>
      <c r="D339" s="39" t="s">
        <v>56</v>
      </c>
      <c r="E339" s="50" t="s">
        <v>57</v>
      </c>
      <c r="F339" s="501">
        <f>MC!N732</f>
        <v>1</v>
      </c>
      <c r="G339" s="323">
        <v>3223.99</v>
      </c>
      <c r="H339" s="419">
        <f t="shared" si="205"/>
        <v>688.32</v>
      </c>
      <c r="I339" s="420">
        <f t="shared" si="208"/>
        <v>3912.31</v>
      </c>
      <c r="J339" s="421">
        <f t="shared" si="209"/>
        <v>3912.31</v>
      </c>
      <c r="L339" s="273"/>
      <c r="M339" s="273"/>
    </row>
    <row r="340" spans="1:13" ht="39" x14ac:dyDescent="0.25">
      <c r="A340" s="414" t="s">
        <v>571</v>
      </c>
      <c r="B340" s="340">
        <v>99241</v>
      </c>
      <c r="C340" s="323" t="s">
        <v>10</v>
      </c>
      <c r="D340" s="47" t="s">
        <v>58</v>
      </c>
      <c r="E340" s="50" t="s">
        <v>42</v>
      </c>
      <c r="F340" s="501">
        <f>MC!N735</f>
        <v>0.6</v>
      </c>
      <c r="G340" s="323">
        <v>1218.05</v>
      </c>
      <c r="H340" s="419">
        <f t="shared" si="205"/>
        <v>260.05</v>
      </c>
      <c r="I340" s="420">
        <f t="shared" si="208"/>
        <v>1478.1</v>
      </c>
      <c r="J340" s="421">
        <f t="shared" si="209"/>
        <v>886.86</v>
      </c>
      <c r="L340" s="273"/>
      <c r="M340" s="273"/>
    </row>
    <row r="341" spans="1:13" ht="39" x14ac:dyDescent="0.25">
      <c r="A341" s="414" t="s">
        <v>572</v>
      </c>
      <c r="B341" s="340">
        <v>97961</v>
      </c>
      <c r="C341" s="323" t="s">
        <v>10</v>
      </c>
      <c r="D341" s="47" t="s">
        <v>273</v>
      </c>
      <c r="E341" s="50" t="s">
        <v>57</v>
      </c>
      <c r="F341" s="501">
        <f>MC!N738</f>
        <v>2</v>
      </c>
      <c r="G341" s="323">
        <v>1668.77</v>
      </c>
      <c r="H341" s="419">
        <f t="shared" si="205"/>
        <v>356.28</v>
      </c>
      <c r="I341" s="420">
        <f t="shared" si="208"/>
        <v>2025.05</v>
      </c>
      <c r="J341" s="421">
        <f t="shared" si="209"/>
        <v>4050.1</v>
      </c>
      <c r="L341" s="273"/>
      <c r="M341" s="273"/>
    </row>
    <row r="342" spans="1:13" ht="39" x14ac:dyDescent="0.25">
      <c r="A342" s="9" t="s">
        <v>641</v>
      </c>
      <c r="B342" s="828" t="s">
        <v>835</v>
      </c>
      <c r="C342" s="829"/>
      <c r="D342" s="342" t="s">
        <v>274</v>
      </c>
      <c r="E342" s="9" t="s">
        <v>57</v>
      </c>
      <c r="F342" s="497">
        <f>MC!N741</f>
        <v>1</v>
      </c>
      <c r="G342" s="9">
        <f>COMPOSIÇÕES!J92</f>
        <v>810.41</v>
      </c>
      <c r="H342" s="419">
        <f t="shared" si="205"/>
        <v>173.02</v>
      </c>
      <c r="I342" s="420">
        <f t="shared" si="208"/>
        <v>983.43</v>
      </c>
      <c r="J342" s="421">
        <f t="shared" si="209"/>
        <v>983.43</v>
      </c>
      <c r="L342" s="273"/>
      <c r="M342" s="273"/>
    </row>
    <row r="343" spans="1:13" x14ac:dyDescent="0.25">
      <c r="A343" s="326"/>
      <c r="B343" s="296"/>
      <c r="C343" s="296"/>
      <c r="D343" s="300"/>
      <c r="E343" s="297"/>
      <c r="F343" s="499"/>
      <c r="G343" s="323"/>
      <c r="H343" s="329"/>
      <c r="I343" s="297"/>
      <c r="J343" s="330"/>
      <c r="L343" s="273"/>
      <c r="M343" s="273"/>
    </row>
    <row r="344" spans="1:13" x14ac:dyDescent="0.25">
      <c r="A344" s="293" t="s">
        <v>642</v>
      </c>
      <c r="B344" s="825" t="s">
        <v>466</v>
      </c>
      <c r="C344" s="826"/>
      <c r="D344" s="826"/>
      <c r="E344" s="826"/>
      <c r="F344" s="826"/>
      <c r="G344" s="826"/>
      <c r="H344" s="826"/>
      <c r="I344" s="827"/>
      <c r="J344" s="294">
        <f>SUM(J345:J368)</f>
        <v>148379.14000000001</v>
      </c>
      <c r="L344" s="273"/>
      <c r="M344" s="273"/>
    </row>
    <row r="345" spans="1:13" x14ac:dyDescent="0.25">
      <c r="A345" s="295" t="s">
        <v>643</v>
      </c>
      <c r="B345" s="296"/>
      <c r="C345" s="296"/>
      <c r="D345" s="296" t="s">
        <v>33</v>
      </c>
      <c r="E345" s="297"/>
      <c r="F345" s="499"/>
      <c r="G345" s="291"/>
      <c r="H345" s="297"/>
      <c r="I345" s="297"/>
      <c r="J345" s="297"/>
      <c r="L345" s="273"/>
      <c r="M345" s="273"/>
    </row>
    <row r="346" spans="1:13" ht="25.5" x14ac:dyDescent="0.25">
      <c r="A346" s="291" t="s">
        <v>644</v>
      </c>
      <c r="B346" s="18">
        <v>101114</v>
      </c>
      <c r="C346" s="18" t="s">
        <v>10</v>
      </c>
      <c r="D346" s="48" t="s">
        <v>270</v>
      </c>
      <c r="E346" s="18" t="s">
        <v>34</v>
      </c>
      <c r="F346" s="741">
        <f>MC!N746</f>
        <v>96.82</v>
      </c>
      <c r="G346" s="50">
        <v>2.94</v>
      </c>
      <c r="H346" s="419">
        <f t="shared" ref="H346:H348" si="210">G346*$G$5</f>
        <v>0.63</v>
      </c>
      <c r="I346" s="420">
        <f t="shared" ref="I346" si="211">G346+H346</f>
        <v>3.57</v>
      </c>
      <c r="J346" s="747">
        <f t="shared" ref="J346" si="212">I346*F346</f>
        <v>345.65</v>
      </c>
      <c r="L346" s="273"/>
      <c r="M346" s="273"/>
    </row>
    <row r="347" spans="1:13" ht="51" x14ac:dyDescent="0.25">
      <c r="A347" s="414" t="s">
        <v>645</v>
      </c>
      <c r="B347" s="291">
        <v>100973</v>
      </c>
      <c r="C347" s="291" t="s">
        <v>10</v>
      </c>
      <c r="D347" s="41" t="s">
        <v>45</v>
      </c>
      <c r="E347" s="291" t="s">
        <v>34</v>
      </c>
      <c r="F347" s="741">
        <f>MC!N749</f>
        <v>121.03</v>
      </c>
      <c r="G347" s="50">
        <v>6.43</v>
      </c>
      <c r="H347" s="419">
        <f t="shared" si="210"/>
        <v>1.37</v>
      </c>
      <c r="I347" s="420">
        <f t="shared" ref="I347:I348" si="213">G347+H347</f>
        <v>7.8</v>
      </c>
      <c r="J347" s="747">
        <f t="shared" ref="J347:J348" si="214">I347*F347</f>
        <v>944.03</v>
      </c>
      <c r="L347" s="273"/>
      <c r="M347" s="273"/>
    </row>
    <row r="348" spans="1:13" ht="38.25" x14ac:dyDescent="0.25">
      <c r="A348" s="414" t="s">
        <v>646</v>
      </c>
      <c r="B348" s="18">
        <v>95875</v>
      </c>
      <c r="C348" s="18" t="s">
        <v>10</v>
      </c>
      <c r="D348" s="49" t="s">
        <v>35</v>
      </c>
      <c r="E348" s="18" t="s">
        <v>36</v>
      </c>
      <c r="F348" s="741">
        <f>MC!N752</f>
        <v>605.15</v>
      </c>
      <c r="G348" s="50">
        <v>1.75</v>
      </c>
      <c r="H348" s="419">
        <f t="shared" si="210"/>
        <v>0.37</v>
      </c>
      <c r="I348" s="420">
        <f t="shared" si="213"/>
        <v>2.12</v>
      </c>
      <c r="J348" s="747">
        <f t="shared" si="214"/>
        <v>1282.92</v>
      </c>
      <c r="L348" s="273"/>
      <c r="M348" s="273"/>
    </row>
    <row r="349" spans="1:13" x14ac:dyDescent="0.25">
      <c r="A349" s="297"/>
      <c r="B349" s="297"/>
      <c r="C349" s="297"/>
      <c r="D349" s="297"/>
      <c r="E349" s="297"/>
      <c r="F349" s="500"/>
      <c r="G349" s="50"/>
      <c r="H349" s="297"/>
      <c r="I349" s="297"/>
      <c r="J349" s="297"/>
      <c r="L349" s="273"/>
      <c r="M349" s="273"/>
    </row>
    <row r="350" spans="1:13" x14ac:dyDescent="0.25">
      <c r="A350" s="295" t="s">
        <v>647</v>
      </c>
      <c r="B350" s="296"/>
      <c r="C350" s="296"/>
      <c r="D350" s="296" t="s">
        <v>40</v>
      </c>
      <c r="E350" s="297"/>
      <c r="F350" s="500"/>
      <c r="G350" s="50"/>
      <c r="H350" s="297"/>
      <c r="I350" s="297"/>
      <c r="J350" s="297"/>
      <c r="L350" s="273"/>
      <c r="M350" s="273"/>
    </row>
    <row r="351" spans="1:13" x14ac:dyDescent="0.25">
      <c r="A351" s="291" t="s">
        <v>648</v>
      </c>
      <c r="B351" s="9">
        <v>99064</v>
      </c>
      <c r="C351" s="10" t="s">
        <v>10</v>
      </c>
      <c r="D351" s="41" t="s">
        <v>41</v>
      </c>
      <c r="E351" s="290" t="s">
        <v>42</v>
      </c>
      <c r="F351" s="741">
        <f>MC!N756</f>
        <v>193.64</v>
      </c>
      <c r="G351" s="50">
        <v>0.49</v>
      </c>
      <c r="H351" s="419">
        <f t="shared" ref="H351:H354" si="215">G351*$G$5</f>
        <v>0.1</v>
      </c>
      <c r="I351" s="420">
        <f t="shared" ref="I351" si="216">G351+H351</f>
        <v>0.59</v>
      </c>
      <c r="J351" s="747">
        <f t="shared" ref="J351" si="217">I351*F351</f>
        <v>114.25</v>
      </c>
      <c r="L351" s="273"/>
      <c r="M351" s="273"/>
    </row>
    <row r="352" spans="1:13" ht="25.5" x14ac:dyDescent="0.25">
      <c r="A352" s="414" t="s">
        <v>649</v>
      </c>
      <c r="B352" s="18">
        <v>100577</v>
      </c>
      <c r="C352" s="18" t="s">
        <v>37</v>
      </c>
      <c r="D352" s="38" t="s">
        <v>38</v>
      </c>
      <c r="E352" s="18" t="s">
        <v>30</v>
      </c>
      <c r="F352" s="741">
        <f>MC!N759</f>
        <v>945.89</v>
      </c>
      <c r="G352" s="50">
        <v>0.8</v>
      </c>
      <c r="H352" s="419">
        <f t="shared" si="215"/>
        <v>0.17</v>
      </c>
      <c r="I352" s="420">
        <f t="shared" ref="I352:I354" si="218">G352+H352</f>
        <v>0.97</v>
      </c>
      <c r="J352" s="747">
        <f t="shared" ref="J352:J354" si="219">I352*F352</f>
        <v>917.51</v>
      </c>
      <c r="K352" s="108"/>
      <c r="L352" s="273"/>
      <c r="M352" s="273"/>
    </row>
    <row r="353" spans="1:14" ht="38.25" x14ac:dyDescent="0.25">
      <c r="A353" s="18" t="s">
        <v>650</v>
      </c>
      <c r="B353" s="818" t="s">
        <v>748</v>
      </c>
      <c r="C353" s="819"/>
      <c r="D353" s="11" t="s">
        <v>44</v>
      </c>
      <c r="E353" s="18" t="s">
        <v>30</v>
      </c>
      <c r="F353" s="496">
        <f>MC!N762</f>
        <v>945.89</v>
      </c>
      <c r="G353" s="302">
        <f>COMPOSIÇÕES!J82</f>
        <v>68.89</v>
      </c>
      <c r="H353" s="419">
        <f t="shared" si="215"/>
        <v>14.71</v>
      </c>
      <c r="I353" s="420">
        <f t="shared" si="218"/>
        <v>83.6</v>
      </c>
      <c r="J353" s="747">
        <f t="shared" si="219"/>
        <v>79076.399999999994</v>
      </c>
      <c r="K353" s="108"/>
      <c r="L353" s="273"/>
      <c r="M353" s="273"/>
      <c r="N353" s="108"/>
    </row>
    <row r="354" spans="1:14" ht="63.75" x14ac:dyDescent="0.25">
      <c r="A354" s="414" t="s">
        <v>651</v>
      </c>
      <c r="B354" s="291">
        <v>94273</v>
      </c>
      <c r="C354" s="291" t="s">
        <v>10</v>
      </c>
      <c r="D354" s="41" t="s">
        <v>49</v>
      </c>
      <c r="E354" s="291" t="s">
        <v>42</v>
      </c>
      <c r="F354" s="500">
        <f>MC!N765</f>
        <v>389.22</v>
      </c>
      <c r="G354" s="61">
        <v>50.89</v>
      </c>
      <c r="H354" s="419">
        <f t="shared" si="215"/>
        <v>10.87</v>
      </c>
      <c r="I354" s="420">
        <f t="shared" si="218"/>
        <v>61.76</v>
      </c>
      <c r="J354" s="747">
        <f t="shared" si="219"/>
        <v>24038.23</v>
      </c>
      <c r="L354" s="273"/>
      <c r="M354" s="273"/>
    </row>
    <row r="355" spans="1:14" x14ac:dyDescent="0.25">
      <c r="A355" s="323"/>
      <c r="B355" s="323"/>
      <c r="C355" s="323"/>
      <c r="D355" s="41"/>
      <c r="E355" s="323"/>
      <c r="F355" s="500"/>
      <c r="G355" s="298"/>
      <c r="H355" s="255"/>
      <c r="I355" s="256"/>
      <c r="J355" s="257"/>
      <c r="L355" s="273"/>
      <c r="M355" s="273"/>
    </row>
    <row r="356" spans="1:14" x14ac:dyDescent="0.25">
      <c r="A356" s="44" t="s">
        <v>652</v>
      </c>
      <c r="B356" s="36"/>
      <c r="C356" s="36"/>
      <c r="D356" s="45" t="s">
        <v>47</v>
      </c>
      <c r="E356" s="36"/>
      <c r="F356" s="491"/>
      <c r="G356" s="50"/>
      <c r="H356" s="36"/>
      <c r="I356" s="36"/>
      <c r="J356" s="36"/>
      <c r="L356" s="273"/>
      <c r="M356" s="273"/>
    </row>
    <row r="357" spans="1:14" x14ac:dyDescent="0.25">
      <c r="A357" s="9" t="s">
        <v>653</v>
      </c>
      <c r="B357" s="106">
        <v>99063</v>
      </c>
      <c r="C357" s="9" t="s">
        <v>10</v>
      </c>
      <c r="D357" s="349" t="s">
        <v>48</v>
      </c>
      <c r="E357" s="9" t="s">
        <v>42</v>
      </c>
      <c r="F357" s="497">
        <f>MC!N769</f>
        <v>20.079999999999998</v>
      </c>
      <c r="G357" s="9">
        <v>4.01</v>
      </c>
      <c r="H357" s="419">
        <f t="shared" ref="H357:H368" si="220">G357*$G$5</f>
        <v>0.86</v>
      </c>
      <c r="I357" s="420">
        <f t="shared" ref="I357" si="221">G357+H357</f>
        <v>4.87</v>
      </c>
      <c r="J357" s="749">
        <f t="shared" ref="J357" si="222">I357*F357</f>
        <v>97.8</v>
      </c>
      <c r="L357" s="273"/>
      <c r="M357" s="273"/>
    </row>
    <row r="358" spans="1:14" ht="64.5" x14ac:dyDescent="0.25">
      <c r="A358" s="9" t="s">
        <v>654</v>
      </c>
      <c r="B358" s="50">
        <v>90082</v>
      </c>
      <c r="C358" s="50" t="s">
        <v>10</v>
      </c>
      <c r="D358" s="47" t="s">
        <v>50</v>
      </c>
      <c r="E358" s="50" t="s">
        <v>34</v>
      </c>
      <c r="F358" s="497">
        <f>MC!N772</f>
        <v>45.18</v>
      </c>
      <c r="G358" s="426">
        <v>7.9</v>
      </c>
      <c r="H358" s="419">
        <f t="shared" si="220"/>
        <v>1.69</v>
      </c>
      <c r="I358" s="420">
        <f t="shared" ref="I358:I368" si="223">G358+H358</f>
        <v>9.59</v>
      </c>
      <c r="J358" s="421">
        <f t="shared" ref="J358:J368" si="224">I358*F358</f>
        <v>433.28</v>
      </c>
      <c r="L358" s="273"/>
      <c r="M358" s="273"/>
    </row>
    <row r="359" spans="1:14" ht="64.5" x14ac:dyDescent="0.25">
      <c r="A359" s="9" t="s">
        <v>655</v>
      </c>
      <c r="B359" s="50">
        <v>90084</v>
      </c>
      <c r="C359" s="50" t="s">
        <v>10</v>
      </c>
      <c r="D359" s="47" t="s">
        <v>51</v>
      </c>
      <c r="E359" s="50" t="s">
        <v>34</v>
      </c>
      <c r="F359" s="497">
        <f>MC!N775</f>
        <v>25.76</v>
      </c>
      <c r="G359" s="9">
        <v>7.65</v>
      </c>
      <c r="H359" s="419">
        <f t="shared" si="220"/>
        <v>1.63</v>
      </c>
      <c r="I359" s="420">
        <f t="shared" si="223"/>
        <v>9.2799999999999994</v>
      </c>
      <c r="J359" s="421">
        <f t="shared" si="224"/>
        <v>239.05</v>
      </c>
      <c r="L359" s="273"/>
      <c r="M359" s="273"/>
    </row>
    <row r="360" spans="1:14" ht="51.75" x14ac:dyDescent="0.25">
      <c r="A360" s="9" t="s">
        <v>656</v>
      </c>
      <c r="B360" s="106">
        <v>92210</v>
      </c>
      <c r="C360" s="9" t="s">
        <v>10</v>
      </c>
      <c r="D360" s="342" t="s">
        <v>266</v>
      </c>
      <c r="E360" s="9" t="s">
        <v>42</v>
      </c>
      <c r="F360" s="497">
        <f>MC!N778</f>
        <v>20.079999999999998</v>
      </c>
      <c r="G360" s="9">
        <v>107.62</v>
      </c>
      <c r="H360" s="419">
        <f t="shared" si="220"/>
        <v>22.98</v>
      </c>
      <c r="I360" s="420">
        <f t="shared" si="223"/>
        <v>130.6</v>
      </c>
      <c r="J360" s="421">
        <f t="shared" si="224"/>
        <v>2622.45</v>
      </c>
      <c r="L360" s="273"/>
      <c r="M360" s="273"/>
    </row>
    <row r="361" spans="1:14" ht="39" x14ac:dyDescent="0.25">
      <c r="A361" s="9" t="s">
        <v>657</v>
      </c>
      <c r="B361" s="106">
        <v>101620</v>
      </c>
      <c r="C361" s="9" t="s">
        <v>10</v>
      </c>
      <c r="D361" s="342" t="s">
        <v>53</v>
      </c>
      <c r="E361" s="9" t="s">
        <v>34</v>
      </c>
      <c r="F361" s="497">
        <f>MC!N781</f>
        <v>122.03</v>
      </c>
      <c r="G361" s="9">
        <v>155.78</v>
      </c>
      <c r="H361" s="419">
        <f t="shared" si="220"/>
        <v>33.26</v>
      </c>
      <c r="I361" s="420">
        <f t="shared" si="223"/>
        <v>189.04</v>
      </c>
      <c r="J361" s="421">
        <f t="shared" si="224"/>
        <v>23068.55</v>
      </c>
      <c r="L361" s="273"/>
      <c r="M361" s="273"/>
    </row>
    <row r="362" spans="1:14" ht="26.25" x14ac:dyDescent="0.25">
      <c r="A362" s="9" t="s">
        <v>658</v>
      </c>
      <c r="B362" s="106">
        <v>93382</v>
      </c>
      <c r="C362" s="9" t="s">
        <v>10</v>
      </c>
      <c r="D362" s="342" t="s">
        <v>271</v>
      </c>
      <c r="E362" s="9" t="s">
        <v>34</v>
      </c>
      <c r="F362" s="497">
        <f>MC!N784</f>
        <v>62.48</v>
      </c>
      <c r="G362" s="9">
        <v>22.91</v>
      </c>
      <c r="H362" s="419">
        <f t="shared" si="220"/>
        <v>4.8899999999999997</v>
      </c>
      <c r="I362" s="420">
        <f t="shared" si="223"/>
        <v>27.8</v>
      </c>
      <c r="J362" s="421">
        <f t="shared" si="224"/>
        <v>1736.94</v>
      </c>
      <c r="L362" s="273"/>
      <c r="M362" s="273"/>
    </row>
    <row r="363" spans="1:14" ht="51" x14ac:dyDescent="0.25">
      <c r="A363" s="9" t="s">
        <v>659</v>
      </c>
      <c r="B363" s="106">
        <v>100973</v>
      </c>
      <c r="C363" s="9" t="s">
        <v>10</v>
      </c>
      <c r="D363" s="56" t="s">
        <v>45</v>
      </c>
      <c r="E363" s="9" t="s">
        <v>34</v>
      </c>
      <c r="F363" s="497">
        <f>MC!N787</f>
        <v>8.4600000000000009</v>
      </c>
      <c r="G363" s="9">
        <v>6.43</v>
      </c>
      <c r="H363" s="419">
        <f t="shared" si="220"/>
        <v>1.37</v>
      </c>
      <c r="I363" s="420">
        <f t="shared" si="223"/>
        <v>7.8</v>
      </c>
      <c r="J363" s="421">
        <f t="shared" si="224"/>
        <v>65.989999999999995</v>
      </c>
      <c r="L363" s="273"/>
      <c r="M363" s="273"/>
    </row>
    <row r="364" spans="1:14" ht="25.5" x14ac:dyDescent="0.25">
      <c r="A364" s="9" t="s">
        <v>660</v>
      </c>
      <c r="B364" s="106">
        <v>97913</v>
      </c>
      <c r="C364" s="9" t="s">
        <v>10</v>
      </c>
      <c r="D364" s="56" t="s">
        <v>54</v>
      </c>
      <c r="E364" s="9" t="s">
        <v>55</v>
      </c>
      <c r="F364" s="497">
        <f>MC!N790</f>
        <v>52.88</v>
      </c>
      <c r="G364" s="9">
        <v>2.2799999999999998</v>
      </c>
      <c r="H364" s="419">
        <f t="shared" si="220"/>
        <v>0.49</v>
      </c>
      <c r="I364" s="420">
        <f t="shared" si="223"/>
        <v>2.77</v>
      </c>
      <c r="J364" s="421">
        <f t="shared" si="224"/>
        <v>146.47999999999999</v>
      </c>
      <c r="K364" s="735"/>
      <c r="L364" s="273"/>
      <c r="M364" s="273"/>
    </row>
    <row r="365" spans="1:14" ht="38.25" x14ac:dyDescent="0.25">
      <c r="A365" s="9" t="s">
        <v>661</v>
      </c>
      <c r="B365" s="106">
        <v>101572</v>
      </c>
      <c r="C365" s="9" t="s">
        <v>10</v>
      </c>
      <c r="D365" s="104" t="s">
        <v>275</v>
      </c>
      <c r="E365" s="347" t="s">
        <v>30</v>
      </c>
      <c r="F365" s="497">
        <f>MC!N793</f>
        <v>88.55</v>
      </c>
      <c r="G365" s="9">
        <v>13.11</v>
      </c>
      <c r="H365" s="419">
        <f t="shared" si="220"/>
        <v>2.8</v>
      </c>
      <c r="I365" s="420">
        <f t="shared" si="223"/>
        <v>15.91</v>
      </c>
      <c r="J365" s="747">
        <f t="shared" si="224"/>
        <v>1408.83</v>
      </c>
      <c r="L365" s="273"/>
      <c r="M365" s="273"/>
    </row>
    <row r="366" spans="1:14" ht="39" x14ac:dyDescent="0.25">
      <c r="A366" s="9" t="s">
        <v>662</v>
      </c>
      <c r="B366" s="106">
        <v>99241</v>
      </c>
      <c r="C366" s="9" t="s">
        <v>10</v>
      </c>
      <c r="D366" s="342" t="s">
        <v>58</v>
      </c>
      <c r="E366" s="9" t="s">
        <v>42</v>
      </c>
      <c r="F366" s="497">
        <f>MC!N796</f>
        <v>1.2</v>
      </c>
      <c r="G366" s="9">
        <v>1218.05</v>
      </c>
      <c r="H366" s="419">
        <f t="shared" si="220"/>
        <v>260.05</v>
      </c>
      <c r="I366" s="420">
        <f t="shared" si="223"/>
        <v>1478.1</v>
      </c>
      <c r="J366" s="421">
        <f t="shared" si="224"/>
        <v>1773.72</v>
      </c>
      <c r="L366" s="273"/>
      <c r="M366" s="273"/>
    </row>
    <row r="367" spans="1:14" ht="39" x14ac:dyDescent="0.25">
      <c r="A367" s="9" t="s">
        <v>663</v>
      </c>
      <c r="B367" s="106">
        <v>97961</v>
      </c>
      <c r="C367" s="9" t="s">
        <v>10</v>
      </c>
      <c r="D367" s="342" t="s">
        <v>273</v>
      </c>
      <c r="E367" s="9" t="s">
        <v>57</v>
      </c>
      <c r="F367" s="497">
        <f>MC!N799</f>
        <v>4</v>
      </c>
      <c r="G367" s="9">
        <v>1668.77</v>
      </c>
      <c r="H367" s="419">
        <f t="shared" si="220"/>
        <v>356.28</v>
      </c>
      <c r="I367" s="420">
        <f t="shared" si="223"/>
        <v>2025.05</v>
      </c>
      <c r="J367" s="747">
        <f t="shared" si="224"/>
        <v>8100.2</v>
      </c>
      <c r="L367" s="273"/>
      <c r="M367" s="273"/>
    </row>
    <row r="368" spans="1:14" ht="38.25" x14ac:dyDescent="0.25">
      <c r="A368" s="9" t="s">
        <v>664</v>
      </c>
      <c r="B368" s="828" t="s">
        <v>835</v>
      </c>
      <c r="C368" s="829"/>
      <c r="D368" s="56" t="s">
        <v>274</v>
      </c>
      <c r="E368" s="9" t="s">
        <v>57</v>
      </c>
      <c r="F368" s="497">
        <f>MC!N802</f>
        <v>2</v>
      </c>
      <c r="G368" s="9">
        <f>COMPOSIÇÕES!J92</f>
        <v>810.41</v>
      </c>
      <c r="H368" s="748">
        <f t="shared" si="220"/>
        <v>173.02</v>
      </c>
      <c r="I368" s="420">
        <f t="shared" si="223"/>
        <v>983.43</v>
      </c>
      <c r="J368" s="421">
        <f t="shared" si="224"/>
        <v>1966.86</v>
      </c>
      <c r="L368" s="273"/>
      <c r="M368" s="273"/>
    </row>
    <row r="369" spans="1:13" ht="14.25" customHeight="1" x14ac:dyDescent="0.25">
      <c r="A369" s="427"/>
      <c r="B369" s="427"/>
      <c r="C369" s="427"/>
      <c r="D369" s="427"/>
      <c r="E369" s="427"/>
      <c r="F369" s="502"/>
      <c r="G369" s="427"/>
      <c r="H369" s="427"/>
      <c r="I369" s="427"/>
      <c r="J369" s="427"/>
      <c r="K369" s="108"/>
      <c r="L369" s="273"/>
      <c r="M369" s="273"/>
    </row>
    <row r="370" spans="1:13" x14ac:dyDescent="0.25">
      <c r="A370" s="806" t="s">
        <v>784</v>
      </c>
      <c r="B370" s="807"/>
      <c r="C370" s="807"/>
      <c r="D370" s="807"/>
      <c r="E370" s="807"/>
      <c r="F370" s="807"/>
      <c r="G370" s="807"/>
      <c r="H370" s="807"/>
      <c r="I370" s="808"/>
      <c r="J370" s="313">
        <f>J10+J13+J21+J29+J41+J53+J65+J77+J103+J115+J127+J154+J166+J178+J206+J223+J251+J277+J304+J316+J344</f>
        <v>3805569.25</v>
      </c>
      <c r="K370" s="742"/>
      <c r="L370" s="273"/>
      <c r="M370" s="273"/>
    </row>
    <row r="371" spans="1:13" x14ac:dyDescent="0.25">
      <c r="A371" s="806" t="s">
        <v>780</v>
      </c>
      <c r="B371" s="807"/>
      <c r="C371" s="807"/>
      <c r="D371" s="807"/>
      <c r="E371" s="807"/>
      <c r="F371" s="807"/>
      <c r="G371" s="807"/>
      <c r="H371" s="807"/>
      <c r="I371" s="808"/>
      <c r="J371" s="313">
        <f>J370-J372</f>
        <v>811443.65</v>
      </c>
      <c r="L371" s="273"/>
      <c r="M371" s="273"/>
    </row>
    <row r="372" spans="1:13" x14ac:dyDescent="0.25">
      <c r="A372" s="806" t="s">
        <v>785</v>
      </c>
      <c r="B372" s="807"/>
      <c r="C372" s="807"/>
      <c r="D372" s="807"/>
      <c r="E372" s="807"/>
      <c r="F372" s="807"/>
      <c r="G372" s="807"/>
      <c r="H372" s="807"/>
      <c r="I372" s="808"/>
      <c r="J372" s="313">
        <f>(J370-(J16+J17))-(J370-(J16+J17))*G5+((J16+J17)-(J16+J17)*G6)</f>
        <v>2994125.6</v>
      </c>
      <c r="L372" s="273"/>
      <c r="M372" s="273"/>
    </row>
    <row r="373" spans="1:13" ht="34.9" customHeight="1" x14ac:dyDescent="0.25">
      <c r="A373" s="822" t="s">
        <v>782</v>
      </c>
      <c r="B373" s="823"/>
      <c r="C373" s="823"/>
      <c r="D373" s="823"/>
      <c r="E373" s="823"/>
      <c r="F373" s="823"/>
      <c r="G373" s="823"/>
      <c r="H373" s="823"/>
      <c r="I373" s="823"/>
      <c r="J373" s="824"/>
      <c r="L373" s="273"/>
      <c r="M373" s="273"/>
    </row>
    <row r="374" spans="1:13" x14ac:dyDescent="0.25">
      <c r="A374" s="764" t="s">
        <v>278</v>
      </c>
      <c r="B374" s="764"/>
      <c r="C374" s="764"/>
      <c r="D374" s="764"/>
      <c r="E374" s="764" t="s">
        <v>277</v>
      </c>
      <c r="F374" s="764"/>
      <c r="G374" s="764"/>
      <c r="H374" s="764"/>
      <c r="I374" s="764"/>
      <c r="J374" s="764"/>
      <c r="K374" s="735"/>
      <c r="L374" s="273"/>
      <c r="M374" s="273"/>
    </row>
    <row r="375" spans="1:13" ht="34.9" customHeight="1" x14ac:dyDescent="0.25">
      <c r="A375" s="764"/>
      <c r="B375" s="764"/>
      <c r="C375" s="764"/>
      <c r="D375" s="764"/>
      <c r="E375" s="764"/>
      <c r="F375" s="764"/>
      <c r="G375" s="764"/>
      <c r="H375" s="764"/>
      <c r="I375" s="764"/>
      <c r="J375" s="764"/>
      <c r="L375" s="273"/>
      <c r="M375" s="273"/>
    </row>
    <row r="376" spans="1:13" x14ac:dyDescent="0.25">
      <c r="A376" s="764"/>
      <c r="B376" s="764"/>
      <c r="C376" s="764"/>
      <c r="D376" s="764"/>
      <c r="E376" s="764"/>
      <c r="F376" s="764"/>
      <c r="G376" s="764"/>
      <c r="H376" s="764"/>
      <c r="I376" s="764"/>
      <c r="J376" s="764"/>
      <c r="L376" s="273"/>
      <c r="M376" s="273"/>
    </row>
    <row r="377" spans="1:13" x14ac:dyDescent="0.25">
      <c r="A377" s="764"/>
      <c r="B377" s="764"/>
      <c r="C377" s="764"/>
      <c r="D377" s="764"/>
      <c r="E377" s="764"/>
      <c r="F377" s="764"/>
      <c r="G377" s="764"/>
      <c r="H377" s="764"/>
      <c r="I377" s="764"/>
      <c r="J377" s="764"/>
      <c r="L377" s="273"/>
      <c r="M377" s="273"/>
    </row>
    <row r="378" spans="1:13" x14ac:dyDescent="0.25">
      <c r="A378" s="764"/>
      <c r="B378" s="764"/>
      <c r="C378" s="764"/>
      <c r="D378" s="764"/>
      <c r="E378" s="764"/>
      <c r="F378" s="764"/>
      <c r="G378" s="764"/>
      <c r="H378" s="764"/>
      <c r="I378" s="764"/>
      <c r="J378" s="764"/>
      <c r="K378" s="735"/>
      <c r="L378" s="273"/>
      <c r="M378" s="273"/>
    </row>
    <row r="379" spans="1:13" x14ac:dyDescent="0.25">
      <c r="L379" s="273"/>
      <c r="M379" s="273"/>
    </row>
    <row r="380" spans="1:13" x14ac:dyDescent="0.25">
      <c r="L380" s="273"/>
      <c r="M380" s="273"/>
    </row>
    <row r="381" spans="1:13" x14ac:dyDescent="0.25">
      <c r="G381" s="108"/>
      <c r="L381" s="273"/>
      <c r="M381" s="273"/>
    </row>
    <row r="382" spans="1:13" x14ac:dyDescent="0.25">
      <c r="E382" s="108"/>
      <c r="L382" s="273"/>
      <c r="M382" s="273"/>
    </row>
    <row r="383" spans="1:13" x14ac:dyDescent="0.25">
      <c r="L383" s="273"/>
      <c r="M383" s="273"/>
    </row>
    <row r="384" spans="1:13" x14ac:dyDescent="0.25">
      <c r="L384" s="273"/>
      <c r="M384" s="273"/>
    </row>
    <row r="385" spans="12:13" ht="34.9" customHeight="1" x14ac:dyDescent="0.25">
      <c r="L385" s="273"/>
      <c r="M385" s="273"/>
    </row>
    <row r="386" spans="12:13" ht="30" customHeight="1" x14ac:dyDescent="0.25">
      <c r="L386" s="273"/>
      <c r="M386" s="273"/>
    </row>
    <row r="387" spans="12:13" x14ac:dyDescent="0.25">
      <c r="L387" s="273"/>
      <c r="M387" s="273"/>
    </row>
    <row r="388" spans="12:13" x14ac:dyDescent="0.25">
      <c r="L388" s="273"/>
      <c r="M388" s="273"/>
    </row>
    <row r="389" spans="12:13" x14ac:dyDescent="0.25">
      <c r="L389" s="273"/>
      <c r="M389" s="273"/>
    </row>
    <row r="390" spans="12:13" x14ac:dyDescent="0.25">
      <c r="L390" s="273"/>
      <c r="M390" s="273"/>
    </row>
    <row r="391" spans="12:13" x14ac:dyDescent="0.25">
      <c r="L391" s="273"/>
      <c r="M391" s="273"/>
    </row>
    <row r="392" spans="12:13" x14ac:dyDescent="0.25">
      <c r="L392" s="273"/>
      <c r="M392" s="273"/>
    </row>
    <row r="393" spans="12:13" x14ac:dyDescent="0.25">
      <c r="L393" s="273"/>
      <c r="M393" s="273"/>
    </row>
    <row r="394" spans="12:13" x14ac:dyDescent="0.25">
      <c r="L394" s="273"/>
      <c r="M394" s="273"/>
    </row>
    <row r="395" spans="12:13" x14ac:dyDescent="0.25">
      <c r="L395" s="273"/>
      <c r="M395" s="273"/>
    </row>
    <row r="396" spans="12:13" x14ac:dyDescent="0.25">
      <c r="L396" s="273"/>
      <c r="M396" s="273"/>
    </row>
    <row r="397" spans="12:13" x14ac:dyDescent="0.25">
      <c r="L397" s="273"/>
      <c r="M397" s="273"/>
    </row>
    <row r="398" spans="12:13" x14ac:dyDescent="0.25">
      <c r="L398" s="273"/>
      <c r="M398" s="273"/>
    </row>
    <row r="399" spans="12:13" x14ac:dyDescent="0.25">
      <c r="L399" s="273"/>
      <c r="M399" s="273"/>
    </row>
    <row r="400" spans="12:13" x14ac:dyDescent="0.25">
      <c r="L400" s="273"/>
      <c r="M400" s="273"/>
    </row>
    <row r="401" spans="12:13" x14ac:dyDescent="0.25">
      <c r="L401" s="273"/>
      <c r="M401" s="273"/>
    </row>
    <row r="402" spans="12:13" x14ac:dyDescent="0.25">
      <c r="L402" s="273"/>
      <c r="M402" s="273"/>
    </row>
    <row r="403" spans="12:13" x14ac:dyDescent="0.25">
      <c r="L403" s="273"/>
      <c r="M403" s="273"/>
    </row>
    <row r="404" spans="12:13" x14ac:dyDescent="0.25">
      <c r="L404" s="273"/>
      <c r="M404" s="273"/>
    </row>
    <row r="405" spans="12:13" x14ac:dyDescent="0.25">
      <c r="L405" s="273"/>
      <c r="M405" s="273"/>
    </row>
    <row r="406" spans="12:13" x14ac:dyDescent="0.25">
      <c r="L406" s="273"/>
      <c r="M406" s="273"/>
    </row>
    <row r="407" spans="12:13" x14ac:dyDescent="0.25">
      <c r="L407" s="273"/>
      <c r="M407" s="273"/>
    </row>
    <row r="408" spans="12:13" x14ac:dyDescent="0.25">
      <c r="L408" s="273"/>
      <c r="M408" s="273"/>
    </row>
    <row r="409" spans="12:13" x14ac:dyDescent="0.25">
      <c r="L409" s="273"/>
      <c r="M409" s="273"/>
    </row>
    <row r="410" spans="12:13" x14ac:dyDescent="0.25">
      <c r="L410" s="273"/>
      <c r="M410" s="273"/>
    </row>
    <row r="411" spans="12:13" x14ac:dyDescent="0.25">
      <c r="L411" s="273"/>
      <c r="M411" s="273"/>
    </row>
    <row r="412" spans="12:13" x14ac:dyDescent="0.25">
      <c r="L412" s="273"/>
      <c r="M412" s="273"/>
    </row>
    <row r="413" spans="12:13" x14ac:dyDescent="0.25">
      <c r="L413" s="273"/>
      <c r="M413" s="273"/>
    </row>
    <row r="414" spans="12:13" x14ac:dyDescent="0.25">
      <c r="L414" s="273"/>
      <c r="M414" s="273"/>
    </row>
    <row r="415" spans="12:13" x14ac:dyDescent="0.25">
      <c r="L415" s="273"/>
      <c r="M415" s="273"/>
    </row>
    <row r="416" spans="12:13" x14ac:dyDescent="0.25">
      <c r="L416" s="273"/>
      <c r="M416" s="273"/>
    </row>
    <row r="417" spans="12:13" x14ac:dyDescent="0.25">
      <c r="L417" s="273"/>
      <c r="M417" s="273"/>
    </row>
    <row r="418" spans="12:13" x14ac:dyDescent="0.25">
      <c r="L418" s="273"/>
      <c r="M418" s="273"/>
    </row>
    <row r="419" spans="12:13" x14ac:dyDescent="0.25">
      <c r="L419" s="273"/>
      <c r="M419" s="273"/>
    </row>
    <row r="420" spans="12:13" x14ac:dyDescent="0.25">
      <c r="L420" s="273"/>
      <c r="M420" s="273"/>
    </row>
    <row r="421" spans="12:13" x14ac:dyDescent="0.25">
      <c r="L421" s="273"/>
      <c r="M421" s="273"/>
    </row>
    <row r="422" spans="12:13" x14ac:dyDescent="0.25">
      <c r="L422" s="273"/>
      <c r="M422" s="273"/>
    </row>
    <row r="423" spans="12:13" x14ac:dyDescent="0.25">
      <c r="L423" s="273"/>
      <c r="M423" s="273"/>
    </row>
    <row r="424" spans="12:13" x14ac:dyDescent="0.25">
      <c r="L424" s="273"/>
      <c r="M424" s="273"/>
    </row>
    <row r="425" spans="12:13" x14ac:dyDescent="0.25">
      <c r="L425" s="273"/>
      <c r="M425" s="273"/>
    </row>
    <row r="426" spans="12:13" x14ac:dyDescent="0.25">
      <c r="L426" s="273"/>
      <c r="M426" s="273"/>
    </row>
    <row r="427" spans="12:13" x14ac:dyDescent="0.25">
      <c r="L427" s="273"/>
      <c r="M427" s="273"/>
    </row>
    <row r="428" spans="12:13" x14ac:dyDescent="0.25">
      <c r="L428" s="273"/>
      <c r="M428" s="273"/>
    </row>
    <row r="429" spans="12:13" x14ac:dyDescent="0.25">
      <c r="L429" s="273"/>
      <c r="M429" s="273"/>
    </row>
    <row r="430" spans="12:13" x14ac:dyDescent="0.25">
      <c r="L430" s="273"/>
      <c r="M430" s="273"/>
    </row>
    <row r="431" spans="12:13" x14ac:dyDescent="0.25">
      <c r="L431" s="273"/>
      <c r="M431" s="273"/>
    </row>
    <row r="432" spans="12:13" x14ac:dyDescent="0.25">
      <c r="L432" s="273"/>
      <c r="M432" s="273"/>
    </row>
    <row r="433" spans="12:13" x14ac:dyDescent="0.25">
      <c r="L433" s="273"/>
      <c r="M433" s="273"/>
    </row>
    <row r="434" spans="12:13" x14ac:dyDescent="0.25">
      <c r="L434" s="273"/>
      <c r="M434" s="273"/>
    </row>
    <row r="435" spans="12:13" x14ac:dyDescent="0.25">
      <c r="L435" s="273"/>
      <c r="M435" s="273"/>
    </row>
    <row r="436" spans="12:13" x14ac:dyDescent="0.25">
      <c r="L436" s="273"/>
      <c r="M436" s="273"/>
    </row>
    <row r="437" spans="12:13" x14ac:dyDescent="0.25">
      <c r="L437" s="273"/>
      <c r="M437" s="273"/>
    </row>
    <row r="438" spans="12:13" x14ac:dyDescent="0.25">
      <c r="L438" s="273"/>
      <c r="M438" s="273"/>
    </row>
    <row r="439" spans="12:13" x14ac:dyDescent="0.25">
      <c r="L439" s="273"/>
      <c r="M439" s="273"/>
    </row>
    <row r="440" spans="12:13" x14ac:dyDescent="0.25">
      <c r="L440" s="273"/>
      <c r="M440" s="273"/>
    </row>
    <row r="441" spans="12:13" x14ac:dyDescent="0.25">
      <c r="L441" s="273"/>
      <c r="M441" s="273"/>
    </row>
    <row r="442" spans="12:13" x14ac:dyDescent="0.25">
      <c r="L442" s="273"/>
      <c r="M442" s="273"/>
    </row>
    <row r="443" spans="12:13" x14ac:dyDescent="0.25">
      <c r="L443" s="273"/>
      <c r="M443" s="273"/>
    </row>
    <row r="444" spans="12:13" x14ac:dyDescent="0.25">
      <c r="L444" s="273"/>
      <c r="M444" s="273"/>
    </row>
    <row r="445" spans="12:13" x14ac:dyDescent="0.25">
      <c r="L445" s="273"/>
      <c r="M445" s="273"/>
    </row>
    <row r="446" spans="12:13" x14ac:dyDescent="0.25">
      <c r="L446" s="273"/>
      <c r="M446" s="273"/>
    </row>
    <row r="447" spans="12:13" x14ac:dyDescent="0.25">
      <c r="L447" s="273"/>
      <c r="M447" s="273"/>
    </row>
    <row r="448" spans="12:13" x14ac:dyDescent="0.25">
      <c r="L448" s="273"/>
      <c r="M448" s="273"/>
    </row>
    <row r="449" spans="12:13" x14ac:dyDescent="0.25">
      <c r="L449" s="273"/>
      <c r="M449" s="273"/>
    </row>
    <row r="450" spans="12:13" x14ac:dyDescent="0.25">
      <c r="L450" s="273"/>
      <c r="M450" s="273"/>
    </row>
    <row r="451" spans="12:13" x14ac:dyDescent="0.25">
      <c r="L451" s="273"/>
      <c r="M451" s="273"/>
    </row>
    <row r="452" spans="12:13" x14ac:dyDescent="0.25">
      <c r="L452" s="273"/>
      <c r="M452" s="273"/>
    </row>
    <row r="453" spans="12:13" x14ac:dyDescent="0.25">
      <c r="L453" s="273"/>
      <c r="M453" s="273"/>
    </row>
    <row r="454" spans="12:13" x14ac:dyDescent="0.25">
      <c r="L454" s="273"/>
      <c r="M454" s="273"/>
    </row>
    <row r="455" spans="12:13" x14ac:dyDescent="0.25">
      <c r="L455" s="273"/>
      <c r="M455" s="273"/>
    </row>
    <row r="456" spans="12:13" x14ac:dyDescent="0.25">
      <c r="L456" s="273"/>
      <c r="M456" s="273"/>
    </row>
    <row r="457" spans="12:13" x14ac:dyDescent="0.25">
      <c r="L457" s="273"/>
      <c r="M457" s="273"/>
    </row>
    <row r="458" spans="12:13" x14ac:dyDescent="0.25">
      <c r="L458" s="273"/>
      <c r="M458" s="273"/>
    </row>
    <row r="459" spans="12:13" x14ac:dyDescent="0.25">
      <c r="L459" s="273"/>
      <c r="M459" s="273"/>
    </row>
    <row r="460" spans="12:13" x14ac:dyDescent="0.25">
      <c r="L460" s="273"/>
      <c r="M460" s="273"/>
    </row>
    <row r="461" spans="12:13" x14ac:dyDescent="0.25">
      <c r="L461" s="273"/>
      <c r="M461" s="273"/>
    </row>
    <row r="462" spans="12:13" x14ac:dyDescent="0.25">
      <c r="L462" s="273"/>
      <c r="M462" s="273"/>
    </row>
    <row r="463" spans="12:13" x14ac:dyDescent="0.25">
      <c r="L463" s="273"/>
      <c r="M463" s="273"/>
    </row>
    <row r="464" spans="12:13" x14ac:dyDescent="0.25">
      <c r="L464" s="273"/>
      <c r="M464" s="273"/>
    </row>
    <row r="465" spans="12:13" x14ac:dyDescent="0.25">
      <c r="L465" s="273"/>
      <c r="M465" s="273"/>
    </row>
    <row r="466" spans="12:13" x14ac:dyDescent="0.25">
      <c r="L466" s="273"/>
      <c r="M466" s="273"/>
    </row>
    <row r="467" spans="12:13" x14ac:dyDescent="0.25">
      <c r="L467" s="273"/>
      <c r="M467" s="273"/>
    </row>
    <row r="468" spans="12:13" x14ac:dyDescent="0.25">
      <c r="L468" s="273"/>
      <c r="M468" s="273"/>
    </row>
    <row r="469" spans="12:13" x14ac:dyDescent="0.25">
      <c r="L469" s="273"/>
      <c r="M469" s="273"/>
    </row>
    <row r="470" spans="12:13" x14ac:dyDescent="0.25">
      <c r="L470" s="273"/>
      <c r="M470" s="273"/>
    </row>
    <row r="471" spans="12:13" x14ac:dyDescent="0.25">
      <c r="L471" s="273"/>
      <c r="M471" s="273"/>
    </row>
    <row r="472" spans="12:13" x14ac:dyDescent="0.25">
      <c r="L472" s="273"/>
      <c r="M472" s="273"/>
    </row>
    <row r="473" spans="12:13" x14ac:dyDescent="0.25">
      <c r="L473" s="273"/>
      <c r="M473" s="273"/>
    </row>
    <row r="474" spans="12:13" x14ac:dyDescent="0.25">
      <c r="L474" s="273"/>
      <c r="M474" s="273"/>
    </row>
    <row r="475" spans="12:13" x14ac:dyDescent="0.25">
      <c r="L475" s="273"/>
      <c r="M475" s="273"/>
    </row>
    <row r="476" spans="12:13" x14ac:dyDescent="0.25">
      <c r="L476" s="273"/>
      <c r="M476" s="273"/>
    </row>
    <row r="477" spans="12:13" x14ac:dyDescent="0.25">
      <c r="L477" s="273"/>
      <c r="M477" s="273"/>
    </row>
    <row r="478" spans="12:13" x14ac:dyDescent="0.25">
      <c r="L478" s="273"/>
      <c r="M478" s="273"/>
    </row>
    <row r="479" spans="12:13" x14ac:dyDescent="0.25">
      <c r="L479" s="273"/>
      <c r="M479" s="273"/>
    </row>
    <row r="480" spans="12:13" x14ac:dyDescent="0.25">
      <c r="L480" s="273"/>
      <c r="M480" s="273"/>
    </row>
    <row r="481" spans="12:13" x14ac:dyDescent="0.25">
      <c r="L481" s="273"/>
      <c r="M481" s="273"/>
    </row>
    <row r="482" spans="12:13" x14ac:dyDescent="0.25">
      <c r="L482" s="273"/>
      <c r="M482" s="273"/>
    </row>
    <row r="483" spans="12:13" x14ac:dyDescent="0.25">
      <c r="L483" s="273"/>
      <c r="M483" s="273"/>
    </row>
    <row r="484" spans="12:13" x14ac:dyDescent="0.25">
      <c r="L484" s="273"/>
      <c r="M484" s="273"/>
    </row>
    <row r="485" spans="12:13" x14ac:dyDescent="0.25">
      <c r="L485" s="273"/>
      <c r="M485" s="273"/>
    </row>
    <row r="486" spans="12:13" x14ac:dyDescent="0.25">
      <c r="L486" s="273"/>
      <c r="M486" s="273"/>
    </row>
    <row r="487" spans="12:13" x14ac:dyDescent="0.25">
      <c r="L487" s="273"/>
      <c r="M487" s="273"/>
    </row>
    <row r="488" spans="12:13" x14ac:dyDescent="0.25">
      <c r="L488" s="273"/>
      <c r="M488" s="273"/>
    </row>
    <row r="489" spans="12:13" x14ac:dyDescent="0.25">
      <c r="L489" s="273"/>
      <c r="M489" s="273"/>
    </row>
    <row r="490" spans="12:13" x14ac:dyDescent="0.25">
      <c r="L490" s="273"/>
      <c r="M490" s="273"/>
    </row>
    <row r="491" spans="12:13" x14ac:dyDescent="0.25">
      <c r="L491" s="273"/>
      <c r="M491" s="273"/>
    </row>
    <row r="492" spans="12:13" x14ac:dyDescent="0.25">
      <c r="L492" s="273"/>
      <c r="M492" s="273"/>
    </row>
    <row r="493" spans="12:13" x14ac:dyDescent="0.25">
      <c r="L493" s="273"/>
      <c r="M493" s="273"/>
    </row>
    <row r="494" spans="12:13" x14ac:dyDescent="0.25">
      <c r="L494" s="273"/>
      <c r="M494" s="273"/>
    </row>
    <row r="495" spans="12:13" x14ac:dyDescent="0.25">
      <c r="L495" s="273"/>
      <c r="M495" s="273"/>
    </row>
    <row r="496" spans="12:13" x14ac:dyDescent="0.25">
      <c r="L496" s="273"/>
      <c r="M496" s="273"/>
    </row>
    <row r="497" spans="12:13" x14ac:dyDescent="0.25">
      <c r="L497" s="273"/>
      <c r="M497" s="273"/>
    </row>
    <row r="498" spans="12:13" x14ac:dyDescent="0.25">
      <c r="L498" s="273"/>
      <c r="M498" s="273"/>
    </row>
    <row r="499" spans="12:13" x14ac:dyDescent="0.25">
      <c r="L499" s="273"/>
      <c r="M499" s="273"/>
    </row>
    <row r="500" spans="12:13" x14ac:dyDescent="0.25">
      <c r="L500" s="273"/>
      <c r="M500" s="273"/>
    </row>
    <row r="501" spans="12:13" x14ac:dyDescent="0.25">
      <c r="L501" s="273"/>
      <c r="M501" s="273"/>
    </row>
    <row r="502" spans="12:13" x14ac:dyDescent="0.25">
      <c r="L502" s="273"/>
      <c r="M502" s="273"/>
    </row>
    <row r="503" spans="12:13" x14ac:dyDescent="0.25">
      <c r="L503" s="273"/>
      <c r="M503" s="273"/>
    </row>
    <row r="504" spans="12:13" x14ac:dyDescent="0.25">
      <c r="L504" s="273"/>
      <c r="M504" s="273"/>
    </row>
    <row r="505" spans="12:13" x14ac:dyDescent="0.25">
      <c r="L505" s="273"/>
      <c r="M505" s="273"/>
    </row>
    <row r="506" spans="12:13" x14ac:dyDescent="0.25">
      <c r="L506" s="273"/>
      <c r="M506" s="273"/>
    </row>
    <row r="507" spans="12:13" x14ac:dyDescent="0.25">
      <c r="L507" s="273"/>
      <c r="M507" s="273"/>
    </row>
    <row r="508" spans="12:13" x14ac:dyDescent="0.25">
      <c r="L508" s="273"/>
      <c r="M508" s="273"/>
    </row>
    <row r="509" spans="12:13" x14ac:dyDescent="0.25">
      <c r="L509" s="273"/>
      <c r="M509" s="273"/>
    </row>
    <row r="510" spans="12:13" x14ac:dyDescent="0.25">
      <c r="L510" s="273"/>
      <c r="M510" s="273"/>
    </row>
    <row r="511" spans="12:13" x14ac:dyDescent="0.25">
      <c r="L511" s="273"/>
      <c r="M511" s="273"/>
    </row>
    <row r="512" spans="12:13" x14ac:dyDescent="0.25">
      <c r="L512" s="273"/>
      <c r="M512" s="273"/>
    </row>
    <row r="513" spans="12:13" x14ac:dyDescent="0.25">
      <c r="L513" s="273"/>
      <c r="M513" s="273"/>
    </row>
    <row r="514" spans="12:13" x14ac:dyDescent="0.25">
      <c r="L514" s="273"/>
      <c r="M514" s="273"/>
    </row>
    <row r="515" spans="12:13" x14ac:dyDescent="0.25">
      <c r="L515" s="273"/>
      <c r="M515" s="273"/>
    </row>
    <row r="516" spans="12:13" x14ac:dyDescent="0.25">
      <c r="L516" s="273"/>
      <c r="M516" s="273"/>
    </row>
    <row r="517" spans="12:13" x14ac:dyDescent="0.25">
      <c r="L517" s="273"/>
      <c r="M517" s="273"/>
    </row>
    <row r="518" spans="12:13" x14ac:dyDescent="0.25">
      <c r="L518" s="273"/>
      <c r="M518" s="273"/>
    </row>
    <row r="519" spans="12:13" x14ac:dyDescent="0.25">
      <c r="L519" s="273"/>
      <c r="M519" s="273"/>
    </row>
    <row r="520" spans="12:13" x14ac:dyDescent="0.25">
      <c r="L520" s="273"/>
      <c r="M520" s="273"/>
    </row>
    <row r="521" spans="12:13" x14ac:dyDescent="0.25">
      <c r="L521" s="273"/>
      <c r="M521" s="273"/>
    </row>
    <row r="522" spans="12:13" x14ac:dyDescent="0.25">
      <c r="L522" s="273"/>
      <c r="M522" s="273"/>
    </row>
    <row r="523" spans="12:13" x14ac:dyDescent="0.25">
      <c r="L523" s="273"/>
      <c r="M523" s="273"/>
    </row>
    <row r="524" spans="12:13" x14ac:dyDescent="0.25">
      <c r="L524" s="273"/>
      <c r="M524" s="273"/>
    </row>
    <row r="525" spans="12:13" x14ac:dyDescent="0.25">
      <c r="L525" s="273"/>
      <c r="M525" s="273"/>
    </row>
    <row r="526" spans="12:13" x14ac:dyDescent="0.25">
      <c r="L526" s="273"/>
      <c r="M526" s="273"/>
    </row>
    <row r="527" spans="12:13" x14ac:dyDescent="0.25">
      <c r="L527" s="273"/>
      <c r="M527" s="273"/>
    </row>
    <row r="528" spans="12:13" x14ac:dyDescent="0.25">
      <c r="L528" s="273"/>
      <c r="M528" s="273"/>
    </row>
    <row r="529" spans="12:13" x14ac:dyDescent="0.25">
      <c r="L529" s="273"/>
      <c r="M529" s="273"/>
    </row>
    <row r="530" spans="12:13" x14ac:dyDescent="0.25">
      <c r="L530" s="273"/>
      <c r="M530" s="273"/>
    </row>
    <row r="531" spans="12:13" x14ac:dyDescent="0.25">
      <c r="L531" s="273"/>
      <c r="M531" s="273"/>
    </row>
    <row r="532" spans="12:13" x14ac:dyDescent="0.25">
      <c r="L532" s="273"/>
      <c r="M532" s="273"/>
    </row>
    <row r="533" spans="12:13" x14ac:dyDescent="0.25">
      <c r="L533" s="273"/>
      <c r="M533" s="273"/>
    </row>
    <row r="534" spans="12:13" x14ac:dyDescent="0.25">
      <c r="L534" s="273"/>
      <c r="M534" s="273"/>
    </row>
    <row r="535" spans="12:13" x14ac:dyDescent="0.25">
      <c r="L535" s="273"/>
      <c r="M535" s="273"/>
    </row>
    <row r="536" spans="12:13" x14ac:dyDescent="0.25">
      <c r="L536" s="273"/>
      <c r="M536" s="273"/>
    </row>
    <row r="537" spans="12:13" x14ac:dyDescent="0.25">
      <c r="L537" s="273"/>
      <c r="M537" s="273"/>
    </row>
    <row r="538" spans="12:13" x14ac:dyDescent="0.25">
      <c r="L538" s="273"/>
      <c r="M538" s="273"/>
    </row>
    <row r="539" spans="12:13" x14ac:dyDescent="0.25">
      <c r="L539" s="273"/>
      <c r="M539" s="273"/>
    </row>
    <row r="540" spans="12:13" x14ac:dyDescent="0.25">
      <c r="L540" s="273"/>
      <c r="M540" s="273"/>
    </row>
    <row r="541" spans="12:13" x14ac:dyDescent="0.25">
      <c r="L541" s="273"/>
      <c r="M541" s="273"/>
    </row>
    <row r="542" spans="12:13" x14ac:dyDescent="0.25">
      <c r="L542" s="273"/>
      <c r="M542" s="273"/>
    </row>
    <row r="543" spans="12:13" x14ac:dyDescent="0.25">
      <c r="L543" s="273"/>
      <c r="M543" s="273"/>
    </row>
    <row r="544" spans="12:13" x14ac:dyDescent="0.25">
      <c r="L544" s="273"/>
      <c r="M544" s="273"/>
    </row>
    <row r="545" spans="12:13" x14ac:dyDescent="0.25">
      <c r="L545" s="273"/>
      <c r="M545" s="273"/>
    </row>
    <row r="546" spans="12:13" x14ac:dyDescent="0.25">
      <c r="L546" s="273"/>
      <c r="M546" s="273"/>
    </row>
    <row r="547" spans="12:13" x14ac:dyDescent="0.25">
      <c r="L547" s="273"/>
      <c r="M547" s="273"/>
    </row>
    <row r="548" spans="12:13" x14ac:dyDescent="0.25">
      <c r="L548" s="273"/>
      <c r="M548" s="273"/>
    </row>
    <row r="549" spans="12:13" x14ac:dyDescent="0.25">
      <c r="L549" s="273"/>
      <c r="M549" s="273"/>
    </row>
    <row r="550" spans="12:13" x14ac:dyDescent="0.25">
      <c r="L550" s="273"/>
      <c r="M550" s="273"/>
    </row>
    <row r="551" spans="12:13" x14ac:dyDescent="0.25">
      <c r="L551" s="273"/>
      <c r="M551" s="273"/>
    </row>
    <row r="552" spans="12:13" x14ac:dyDescent="0.25">
      <c r="L552" s="273"/>
      <c r="M552" s="273"/>
    </row>
    <row r="553" spans="12:13" x14ac:dyDescent="0.25">
      <c r="L553" s="273"/>
      <c r="M553" s="273"/>
    </row>
    <row r="554" spans="12:13" x14ac:dyDescent="0.25">
      <c r="L554" s="273"/>
      <c r="M554" s="273"/>
    </row>
    <row r="555" spans="12:13" x14ac:dyDescent="0.25">
      <c r="L555" s="273"/>
      <c r="M555" s="273"/>
    </row>
    <row r="556" spans="12:13" x14ac:dyDescent="0.25">
      <c r="L556" s="273"/>
      <c r="M556" s="273"/>
    </row>
    <row r="557" spans="12:13" x14ac:dyDescent="0.25">
      <c r="L557" s="273"/>
      <c r="M557" s="273"/>
    </row>
    <row r="558" spans="12:13" x14ac:dyDescent="0.25">
      <c r="L558" s="273"/>
      <c r="M558" s="273"/>
    </row>
    <row r="559" spans="12:13" x14ac:dyDescent="0.25">
      <c r="L559" s="273"/>
      <c r="M559" s="273"/>
    </row>
    <row r="560" spans="12:13" x14ac:dyDescent="0.25">
      <c r="L560" s="273"/>
      <c r="M560" s="273"/>
    </row>
    <row r="561" spans="12:13" x14ac:dyDescent="0.25">
      <c r="L561" s="273"/>
      <c r="M561" s="273"/>
    </row>
    <row r="562" spans="12:13" x14ac:dyDescent="0.25">
      <c r="L562" s="273"/>
      <c r="M562" s="273"/>
    </row>
    <row r="563" spans="12:13" x14ac:dyDescent="0.25">
      <c r="L563" s="273"/>
      <c r="M563" s="273"/>
    </row>
    <row r="564" spans="12:13" x14ac:dyDescent="0.25">
      <c r="L564" s="273"/>
      <c r="M564" s="273"/>
    </row>
    <row r="565" spans="12:13" x14ac:dyDescent="0.25">
      <c r="L565" s="273"/>
      <c r="M565" s="273"/>
    </row>
    <row r="566" spans="12:13" x14ac:dyDescent="0.25">
      <c r="L566" s="273"/>
      <c r="M566" s="273"/>
    </row>
    <row r="567" spans="12:13" x14ac:dyDescent="0.25">
      <c r="L567" s="273"/>
      <c r="M567" s="273"/>
    </row>
    <row r="568" spans="12:13" x14ac:dyDescent="0.25">
      <c r="L568" s="273"/>
      <c r="M568" s="273"/>
    </row>
    <row r="569" spans="12:13" x14ac:dyDescent="0.25">
      <c r="L569" s="273"/>
      <c r="M569" s="273"/>
    </row>
    <row r="570" spans="12:13" x14ac:dyDescent="0.25">
      <c r="L570" s="273"/>
      <c r="M570" s="273"/>
    </row>
    <row r="571" spans="12:13" ht="42.6" customHeight="1" x14ac:dyDescent="0.25">
      <c r="L571" s="273"/>
      <c r="M571" s="273"/>
    </row>
    <row r="572" spans="12:13" x14ac:dyDescent="0.25">
      <c r="L572" s="273"/>
      <c r="M572" s="273"/>
    </row>
    <row r="573" spans="12:13" x14ac:dyDescent="0.25">
      <c r="L573" s="273"/>
      <c r="M573" s="273"/>
    </row>
    <row r="574" spans="12:13" x14ac:dyDescent="0.25">
      <c r="L574" s="273"/>
      <c r="M574" s="273"/>
    </row>
    <row r="575" spans="12:13" x14ac:dyDescent="0.25">
      <c r="L575" s="273"/>
      <c r="M575" s="273"/>
    </row>
    <row r="576" spans="12:13" x14ac:dyDescent="0.25">
      <c r="L576" s="273"/>
      <c r="M576" s="273"/>
    </row>
    <row r="577" spans="12:13" x14ac:dyDescent="0.25">
      <c r="L577" s="273"/>
      <c r="M577" s="273"/>
    </row>
    <row r="578" spans="12:13" x14ac:dyDescent="0.25">
      <c r="L578" s="273"/>
      <c r="M578" s="273"/>
    </row>
    <row r="579" spans="12:13" x14ac:dyDescent="0.25">
      <c r="L579" s="273"/>
      <c r="M579" s="273"/>
    </row>
    <row r="580" spans="12:13" x14ac:dyDescent="0.25">
      <c r="L580" s="273"/>
      <c r="M580" s="273"/>
    </row>
    <row r="581" spans="12:13" x14ac:dyDescent="0.25">
      <c r="L581" s="273"/>
      <c r="M581" s="273"/>
    </row>
    <row r="582" spans="12:13" x14ac:dyDescent="0.25">
      <c r="L582" s="273"/>
      <c r="M582" s="273"/>
    </row>
    <row r="583" spans="12:13" x14ac:dyDescent="0.25">
      <c r="L583" s="273"/>
      <c r="M583" s="273"/>
    </row>
    <row r="584" spans="12:13" x14ac:dyDescent="0.25">
      <c r="L584" s="273"/>
      <c r="M584" s="273"/>
    </row>
    <row r="585" spans="12:13" x14ac:dyDescent="0.25">
      <c r="L585" s="273"/>
      <c r="M585" s="273"/>
    </row>
    <row r="586" spans="12:13" x14ac:dyDescent="0.25">
      <c r="L586" s="273"/>
      <c r="M586" s="273"/>
    </row>
    <row r="587" spans="12:13" x14ac:dyDescent="0.25">
      <c r="L587" s="273"/>
      <c r="M587" s="273"/>
    </row>
    <row r="588" spans="12:13" x14ac:dyDescent="0.25">
      <c r="L588" s="273"/>
      <c r="M588" s="273"/>
    </row>
    <row r="589" spans="12:13" x14ac:dyDescent="0.25">
      <c r="L589" s="273"/>
      <c r="M589" s="273"/>
    </row>
    <row r="590" spans="12:13" x14ac:dyDescent="0.25">
      <c r="L590" s="273"/>
      <c r="M590" s="273"/>
    </row>
    <row r="591" spans="12:13" x14ac:dyDescent="0.25">
      <c r="L591" s="273"/>
      <c r="M591" s="273"/>
    </row>
    <row r="592" spans="12:13" x14ac:dyDescent="0.25">
      <c r="L592" s="273"/>
      <c r="M592" s="273"/>
    </row>
    <row r="593" spans="12:13" x14ac:dyDescent="0.25">
      <c r="L593" s="273"/>
      <c r="M593" s="273"/>
    </row>
    <row r="594" spans="12:13" x14ac:dyDescent="0.25">
      <c r="L594" s="273"/>
      <c r="M594" s="273"/>
    </row>
    <row r="595" spans="12:13" x14ac:dyDescent="0.25">
      <c r="L595" s="273"/>
      <c r="M595" s="273"/>
    </row>
    <row r="596" spans="12:13" x14ac:dyDescent="0.25">
      <c r="L596" s="273"/>
      <c r="M596" s="273"/>
    </row>
    <row r="597" spans="12:13" x14ac:dyDescent="0.25">
      <c r="L597" s="273"/>
      <c r="M597" s="273"/>
    </row>
    <row r="598" spans="12:13" x14ac:dyDescent="0.25">
      <c r="L598" s="273"/>
      <c r="M598" s="273"/>
    </row>
    <row r="599" spans="12:13" x14ac:dyDescent="0.25">
      <c r="L599" s="273"/>
      <c r="M599" s="273"/>
    </row>
    <row r="600" spans="12:13" x14ac:dyDescent="0.25">
      <c r="L600" s="273"/>
      <c r="M600" s="273"/>
    </row>
    <row r="601" spans="12:13" x14ac:dyDescent="0.25">
      <c r="L601" s="273"/>
      <c r="M601" s="273"/>
    </row>
    <row r="602" spans="12:13" x14ac:dyDescent="0.25">
      <c r="L602" s="273"/>
      <c r="M602" s="273"/>
    </row>
    <row r="603" spans="12:13" x14ac:dyDescent="0.25">
      <c r="L603" s="273"/>
      <c r="M603" s="273"/>
    </row>
    <row r="604" spans="12:13" x14ac:dyDescent="0.25">
      <c r="L604" s="273"/>
      <c r="M604" s="273"/>
    </row>
    <row r="605" spans="12:13" x14ac:dyDescent="0.25">
      <c r="L605" s="273"/>
      <c r="M605" s="273"/>
    </row>
    <row r="606" spans="12:13" x14ac:dyDescent="0.25">
      <c r="L606" s="273"/>
      <c r="M606" s="273"/>
    </row>
    <row r="607" spans="12:13" x14ac:dyDescent="0.25">
      <c r="L607" s="273"/>
      <c r="M607" s="273"/>
    </row>
    <row r="608" spans="12:13" x14ac:dyDescent="0.25">
      <c r="L608" s="273"/>
      <c r="M608" s="273"/>
    </row>
    <row r="609" spans="12:13" x14ac:dyDescent="0.25">
      <c r="L609" s="273"/>
      <c r="M609" s="273"/>
    </row>
    <row r="610" spans="12:13" x14ac:dyDescent="0.25">
      <c r="L610" s="273"/>
      <c r="M610" s="273"/>
    </row>
    <row r="611" spans="12:13" x14ac:dyDescent="0.25">
      <c r="L611" s="273"/>
      <c r="M611" s="273"/>
    </row>
    <row r="612" spans="12:13" x14ac:dyDescent="0.25">
      <c r="L612" s="273"/>
      <c r="M612" s="273"/>
    </row>
    <row r="613" spans="12:13" x14ac:dyDescent="0.25">
      <c r="L613" s="273"/>
      <c r="M613" s="273"/>
    </row>
    <row r="614" spans="12:13" x14ac:dyDescent="0.25">
      <c r="L614" s="273"/>
      <c r="M614" s="273"/>
    </row>
    <row r="615" spans="12:13" x14ac:dyDescent="0.25">
      <c r="L615" s="273"/>
      <c r="M615" s="273"/>
    </row>
    <row r="616" spans="12:13" x14ac:dyDescent="0.25">
      <c r="L616" s="273"/>
      <c r="M616" s="273"/>
    </row>
    <row r="617" spans="12:13" x14ac:dyDescent="0.25">
      <c r="L617" s="273"/>
      <c r="M617" s="273"/>
    </row>
    <row r="618" spans="12:13" x14ac:dyDescent="0.25">
      <c r="L618" s="273"/>
      <c r="M618" s="273"/>
    </row>
    <row r="619" spans="12:13" x14ac:dyDescent="0.25">
      <c r="L619" s="273"/>
      <c r="M619" s="273"/>
    </row>
    <row r="620" spans="12:13" x14ac:dyDescent="0.25">
      <c r="L620" s="273"/>
      <c r="M620" s="273"/>
    </row>
    <row r="621" spans="12:13" x14ac:dyDescent="0.25">
      <c r="L621" s="273"/>
      <c r="M621" s="273"/>
    </row>
    <row r="622" spans="12:13" x14ac:dyDescent="0.25">
      <c r="L622" s="273"/>
      <c r="M622" s="273"/>
    </row>
    <row r="623" spans="12:13" x14ac:dyDescent="0.25">
      <c r="L623" s="273"/>
      <c r="M623" s="273"/>
    </row>
    <row r="624" spans="12:13" x14ac:dyDescent="0.25">
      <c r="L624" s="273"/>
      <c r="M624" s="273"/>
    </row>
    <row r="625" spans="12:13" x14ac:dyDescent="0.25">
      <c r="L625" s="273"/>
      <c r="M625" s="273"/>
    </row>
    <row r="626" spans="12:13" x14ac:dyDescent="0.25">
      <c r="L626" s="273"/>
      <c r="M626" s="273"/>
    </row>
    <row r="627" spans="12:13" x14ac:dyDescent="0.25">
      <c r="L627" s="273"/>
      <c r="M627" s="273"/>
    </row>
    <row r="628" spans="12:13" x14ac:dyDescent="0.25">
      <c r="L628" s="273"/>
      <c r="M628" s="273"/>
    </row>
    <row r="629" spans="12:13" x14ac:dyDescent="0.25">
      <c r="L629" s="273"/>
      <c r="M629" s="273"/>
    </row>
    <row r="630" spans="12:13" x14ac:dyDescent="0.25">
      <c r="L630" s="273"/>
      <c r="M630" s="273"/>
    </row>
    <row r="631" spans="12:13" x14ac:dyDescent="0.25">
      <c r="L631" s="273"/>
      <c r="M631" s="273"/>
    </row>
    <row r="632" spans="12:13" x14ac:dyDescent="0.25">
      <c r="L632" s="273"/>
      <c r="M632" s="273"/>
    </row>
    <row r="633" spans="12:13" x14ac:dyDescent="0.25">
      <c r="L633" s="273"/>
      <c r="M633" s="273"/>
    </row>
    <row r="634" spans="12:13" x14ac:dyDescent="0.25">
      <c r="L634" s="273"/>
      <c r="M634" s="273"/>
    </row>
    <row r="635" spans="12:13" x14ac:dyDescent="0.25">
      <c r="L635" s="273"/>
      <c r="M635" s="273"/>
    </row>
    <row r="636" spans="12:13" x14ac:dyDescent="0.25">
      <c r="L636" s="273"/>
      <c r="M636" s="273"/>
    </row>
    <row r="637" spans="12:13" x14ac:dyDescent="0.25">
      <c r="L637" s="273"/>
      <c r="M637" s="273"/>
    </row>
    <row r="638" spans="12:13" x14ac:dyDescent="0.25">
      <c r="L638" s="273"/>
      <c r="M638" s="273"/>
    </row>
    <row r="639" spans="12:13" x14ac:dyDescent="0.25">
      <c r="L639" s="273"/>
      <c r="M639" s="273"/>
    </row>
    <row r="640" spans="12:13" x14ac:dyDescent="0.25">
      <c r="L640" s="273"/>
      <c r="M640" s="273"/>
    </row>
    <row r="641" spans="12:13" x14ac:dyDescent="0.25">
      <c r="L641" s="273"/>
      <c r="M641" s="273"/>
    </row>
    <row r="642" spans="12:13" x14ac:dyDescent="0.25">
      <c r="L642" s="273"/>
      <c r="M642" s="273"/>
    </row>
    <row r="643" spans="12:13" x14ac:dyDescent="0.25">
      <c r="L643" s="273"/>
      <c r="M643" s="273"/>
    </row>
    <row r="644" spans="12:13" x14ac:dyDescent="0.25">
      <c r="L644" s="273"/>
      <c r="M644" s="273"/>
    </row>
    <row r="645" spans="12:13" x14ac:dyDescent="0.25">
      <c r="L645" s="273"/>
      <c r="M645" s="273"/>
    </row>
    <row r="646" spans="12:13" x14ac:dyDescent="0.25">
      <c r="L646" s="273"/>
      <c r="M646" s="273"/>
    </row>
    <row r="647" spans="12:13" x14ac:dyDescent="0.25">
      <c r="L647" s="273"/>
      <c r="M647" s="273"/>
    </row>
    <row r="648" spans="12:13" x14ac:dyDescent="0.25">
      <c r="L648" s="273"/>
      <c r="M648" s="273"/>
    </row>
    <row r="649" spans="12:13" x14ac:dyDescent="0.25">
      <c r="L649" s="273"/>
      <c r="M649" s="273"/>
    </row>
    <row r="650" spans="12:13" x14ac:dyDescent="0.25">
      <c r="L650" s="273"/>
      <c r="M650" s="273"/>
    </row>
    <row r="651" spans="12:13" x14ac:dyDescent="0.25">
      <c r="L651" s="273"/>
      <c r="M651" s="273"/>
    </row>
    <row r="652" spans="12:13" x14ac:dyDescent="0.25">
      <c r="L652" s="273"/>
      <c r="M652" s="273"/>
    </row>
    <row r="653" spans="12:13" x14ac:dyDescent="0.25">
      <c r="L653" s="273"/>
      <c r="M653" s="273"/>
    </row>
    <row r="654" spans="12:13" x14ac:dyDescent="0.25">
      <c r="L654" s="273"/>
      <c r="M654" s="273"/>
    </row>
    <row r="655" spans="12:13" x14ac:dyDescent="0.25">
      <c r="L655" s="273"/>
      <c r="M655" s="273"/>
    </row>
    <row r="656" spans="12:13" x14ac:dyDescent="0.25">
      <c r="L656" s="273"/>
      <c r="M656" s="273"/>
    </row>
    <row r="657" spans="12:13" x14ac:dyDescent="0.25">
      <c r="L657" s="273"/>
      <c r="M657" s="273"/>
    </row>
    <row r="658" spans="12:13" x14ac:dyDescent="0.25">
      <c r="L658" s="273"/>
      <c r="M658" s="273"/>
    </row>
    <row r="659" spans="12:13" x14ac:dyDescent="0.25">
      <c r="L659" s="273"/>
      <c r="M659" s="273"/>
    </row>
    <row r="660" spans="12:13" x14ac:dyDescent="0.25">
      <c r="L660" s="273"/>
      <c r="M660" s="273"/>
    </row>
    <row r="661" spans="12:13" x14ac:dyDescent="0.25">
      <c r="L661" s="273"/>
      <c r="M661" s="273"/>
    </row>
    <row r="662" spans="12:13" x14ac:dyDescent="0.25">
      <c r="L662" s="273"/>
      <c r="M662" s="273"/>
    </row>
    <row r="663" spans="12:13" x14ac:dyDescent="0.25">
      <c r="L663" s="273"/>
      <c r="M663" s="273"/>
    </row>
    <row r="664" spans="12:13" x14ac:dyDescent="0.25">
      <c r="L664" s="273"/>
      <c r="M664" s="273"/>
    </row>
    <row r="665" spans="12:13" x14ac:dyDescent="0.25">
      <c r="L665" s="273"/>
      <c r="M665" s="273"/>
    </row>
    <row r="666" spans="12:13" x14ac:dyDescent="0.25">
      <c r="L666" s="273"/>
      <c r="M666" s="273"/>
    </row>
    <row r="667" spans="12:13" x14ac:dyDescent="0.25">
      <c r="L667" s="273"/>
      <c r="M667" s="273"/>
    </row>
    <row r="668" spans="12:13" x14ac:dyDescent="0.25">
      <c r="L668" s="273"/>
      <c r="M668" s="273"/>
    </row>
    <row r="669" spans="12:13" x14ac:dyDescent="0.25">
      <c r="L669" s="273"/>
      <c r="M669" s="273"/>
    </row>
    <row r="670" spans="12:13" x14ac:dyDescent="0.25">
      <c r="L670" s="273"/>
      <c r="M670" s="273"/>
    </row>
    <row r="671" spans="12:13" x14ac:dyDescent="0.25">
      <c r="L671" s="273"/>
      <c r="M671" s="273"/>
    </row>
    <row r="672" spans="12:13" x14ac:dyDescent="0.25">
      <c r="L672" s="273"/>
      <c r="M672" s="273"/>
    </row>
    <row r="673" spans="12:13" x14ac:dyDescent="0.25">
      <c r="L673" s="273"/>
      <c r="M673" s="273"/>
    </row>
    <row r="674" spans="12:13" x14ac:dyDescent="0.25">
      <c r="L674" s="273"/>
      <c r="M674" s="273"/>
    </row>
    <row r="675" spans="12:13" x14ac:dyDescent="0.25">
      <c r="L675" s="273"/>
      <c r="M675" s="273"/>
    </row>
    <row r="676" spans="12:13" x14ac:dyDescent="0.25">
      <c r="L676" s="273"/>
      <c r="M676" s="273"/>
    </row>
    <row r="677" spans="12:13" x14ac:dyDescent="0.25">
      <c r="L677" s="273"/>
      <c r="M677" s="273"/>
    </row>
    <row r="678" spans="12:13" x14ac:dyDescent="0.25">
      <c r="L678" s="273"/>
      <c r="M678" s="273"/>
    </row>
    <row r="679" spans="12:13" x14ac:dyDescent="0.25">
      <c r="L679" s="273"/>
      <c r="M679" s="273"/>
    </row>
    <row r="680" spans="12:13" x14ac:dyDescent="0.25">
      <c r="L680" s="273"/>
      <c r="M680" s="273"/>
    </row>
    <row r="681" spans="12:13" x14ac:dyDescent="0.25">
      <c r="L681" s="273"/>
      <c r="M681" s="273"/>
    </row>
    <row r="682" spans="12:13" x14ac:dyDescent="0.25">
      <c r="L682" s="273"/>
      <c r="M682" s="273"/>
    </row>
    <row r="683" spans="12:13" x14ac:dyDescent="0.25">
      <c r="L683" s="273"/>
      <c r="M683" s="273"/>
    </row>
    <row r="684" spans="12:13" x14ac:dyDescent="0.25">
      <c r="L684" s="273"/>
      <c r="M684" s="273"/>
    </row>
    <row r="685" spans="12:13" x14ac:dyDescent="0.25">
      <c r="L685" s="273"/>
      <c r="M685" s="273"/>
    </row>
    <row r="686" spans="12:13" x14ac:dyDescent="0.25">
      <c r="L686" s="273"/>
      <c r="M686" s="273"/>
    </row>
    <row r="687" spans="12:13" x14ac:dyDescent="0.25">
      <c r="L687" s="273"/>
      <c r="M687" s="273"/>
    </row>
    <row r="688" spans="12:13" x14ac:dyDescent="0.25">
      <c r="L688" s="273"/>
      <c r="M688" s="273"/>
    </row>
    <row r="689" spans="12:13" x14ac:dyDescent="0.25">
      <c r="L689" s="273"/>
      <c r="M689" s="273"/>
    </row>
    <row r="690" spans="12:13" x14ac:dyDescent="0.25">
      <c r="L690" s="273"/>
      <c r="M690" s="273"/>
    </row>
    <row r="691" spans="12:13" x14ac:dyDescent="0.25">
      <c r="L691" s="273"/>
      <c r="M691" s="273"/>
    </row>
    <row r="692" spans="12:13" x14ac:dyDescent="0.25">
      <c r="L692" s="273"/>
      <c r="M692" s="273"/>
    </row>
    <row r="693" spans="12:13" x14ac:dyDescent="0.25">
      <c r="L693" s="273"/>
      <c r="M693" s="273"/>
    </row>
    <row r="694" spans="12:13" x14ac:dyDescent="0.25">
      <c r="L694" s="273"/>
      <c r="M694" s="273"/>
    </row>
    <row r="695" spans="12:13" x14ac:dyDescent="0.25">
      <c r="L695" s="273"/>
      <c r="M695" s="273"/>
    </row>
    <row r="696" spans="12:13" x14ac:dyDescent="0.25">
      <c r="L696" s="273"/>
      <c r="M696" s="273"/>
    </row>
    <row r="697" spans="12:13" x14ac:dyDescent="0.25">
      <c r="L697" s="273"/>
      <c r="M697" s="273"/>
    </row>
    <row r="698" spans="12:13" x14ac:dyDescent="0.25">
      <c r="L698" s="273"/>
      <c r="M698" s="273"/>
    </row>
    <row r="699" spans="12:13" x14ac:dyDescent="0.25">
      <c r="L699" s="273"/>
      <c r="M699" s="273"/>
    </row>
    <row r="700" spans="12:13" x14ac:dyDescent="0.25">
      <c r="L700" s="273"/>
      <c r="M700" s="273"/>
    </row>
    <row r="701" spans="12:13" x14ac:dyDescent="0.25">
      <c r="L701" s="273"/>
      <c r="M701" s="273"/>
    </row>
    <row r="702" spans="12:13" x14ac:dyDescent="0.25">
      <c r="L702" s="273"/>
      <c r="M702" s="273"/>
    </row>
    <row r="703" spans="12:13" x14ac:dyDescent="0.25">
      <c r="L703" s="273"/>
      <c r="M703" s="273"/>
    </row>
    <row r="704" spans="12:13" x14ac:dyDescent="0.25">
      <c r="L704" s="273"/>
      <c r="M704" s="273"/>
    </row>
    <row r="705" spans="12:13" x14ac:dyDescent="0.25">
      <c r="L705" s="273"/>
      <c r="M705" s="273"/>
    </row>
    <row r="706" spans="12:13" x14ac:dyDescent="0.25">
      <c r="L706" s="273"/>
      <c r="M706" s="273"/>
    </row>
    <row r="707" spans="12:13" x14ac:dyDescent="0.25">
      <c r="L707" s="273"/>
      <c r="M707" s="273"/>
    </row>
    <row r="708" spans="12:13" x14ac:dyDescent="0.25">
      <c r="L708" s="273"/>
      <c r="M708" s="273"/>
    </row>
    <row r="709" spans="12:13" x14ac:dyDescent="0.25">
      <c r="L709" s="273"/>
      <c r="M709" s="273"/>
    </row>
    <row r="710" spans="12:13" x14ac:dyDescent="0.25">
      <c r="L710" s="273"/>
      <c r="M710" s="273"/>
    </row>
    <row r="711" spans="12:13" x14ac:dyDescent="0.25">
      <c r="L711" s="273"/>
      <c r="M711" s="273"/>
    </row>
    <row r="712" spans="12:13" x14ac:dyDescent="0.25">
      <c r="L712" s="273"/>
      <c r="M712" s="273"/>
    </row>
    <row r="713" spans="12:13" x14ac:dyDescent="0.25">
      <c r="L713" s="273"/>
      <c r="M713" s="273"/>
    </row>
    <row r="714" spans="12:13" x14ac:dyDescent="0.25">
      <c r="L714" s="273"/>
      <c r="M714" s="273"/>
    </row>
    <row r="715" spans="12:13" x14ac:dyDescent="0.25">
      <c r="L715" s="273"/>
      <c r="M715" s="273"/>
    </row>
    <row r="716" spans="12:13" x14ac:dyDescent="0.25">
      <c r="L716" s="273"/>
      <c r="M716" s="273"/>
    </row>
    <row r="717" spans="12:13" x14ac:dyDescent="0.25">
      <c r="L717" s="273"/>
      <c r="M717" s="273"/>
    </row>
    <row r="718" spans="12:13" x14ac:dyDescent="0.25">
      <c r="L718" s="273"/>
      <c r="M718" s="273"/>
    </row>
    <row r="719" spans="12:13" x14ac:dyDescent="0.25">
      <c r="L719" s="273"/>
      <c r="M719" s="273"/>
    </row>
    <row r="720" spans="12:13" x14ac:dyDescent="0.25">
      <c r="L720" s="273"/>
      <c r="M720" s="273"/>
    </row>
    <row r="721" spans="12:13" x14ac:dyDescent="0.25">
      <c r="L721" s="273"/>
      <c r="M721" s="273"/>
    </row>
    <row r="722" spans="12:13" x14ac:dyDescent="0.25">
      <c r="L722" s="273"/>
      <c r="M722" s="273"/>
    </row>
    <row r="723" spans="12:13" x14ac:dyDescent="0.25">
      <c r="L723" s="273"/>
      <c r="M723" s="273"/>
    </row>
    <row r="724" spans="12:13" x14ac:dyDescent="0.25">
      <c r="L724" s="273"/>
      <c r="M724" s="273"/>
    </row>
    <row r="725" spans="12:13" x14ac:dyDescent="0.25">
      <c r="L725" s="273"/>
      <c r="M725" s="273"/>
    </row>
    <row r="726" spans="12:13" x14ac:dyDescent="0.25">
      <c r="L726" s="273"/>
      <c r="M726" s="273"/>
    </row>
    <row r="727" spans="12:13" x14ac:dyDescent="0.25">
      <c r="L727" s="273"/>
      <c r="M727" s="273"/>
    </row>
    <row r="728" spans="12:13" x14ac:dyDescent="0.25">
      <c r="L728" s="273"/>
      <c r="M728" s="273"/>
    </row>
    <row r="729" spans="12:13" x14ac:dyDescent="0.25">
      <c r="L729" s="273"/>
      <c r="M729" s="273"/>
    </row>
    <row r="730" spans="12:13" x14ac:dyDescent="0.25">
      <c r="L730" s="273"/>
      <c r="M730" s="273"/>
    </row>
    <row r="731" spans="12:13" x14ac:dyDescent="0.25">
      <c r="L731" s="273"/>
      <c r="M731" s="273"/>
    </row>
    <row r="732" spans="12:13" x14ac:dyDescent="0.25">
      <c r="L732" s="273"/>
      <c r="M732" s="273"/>
    </row>
    <row r="733" spans="12:13" x14ac:dyDescent="0.25">
      <c r="L733" s="273"/>
      <c r="M733" s="273"/>
    </row>
    <row r="734" spans="12:13" x14ac:dyDescent="0.25">
      <c r="L734" s="273"/>
      <c r="M734" s="273"/>
    </row>
    <row r="735" spans="12:13" x14ac:dyDescent="0.25">
      <c r="L735" s="273"/>
      <c r="M735" s="273"/>
    </row>
    <row r="736" spans="12:13" x14ac:dyDescent="0.25">
      <c r="L736" s="273"/>
      <c r="M736" s="273"/>
    </row>
    <row r="737" spans="12:13" x14ac:dyDescent="0.25">
      <c r="L737" s="273"/>
      <c r="M737" s="273"/>
    </row>
    <row r="738" spans="12:13" x14ac:dyDescent="0.25">
      <c r="L738" s="273"/>
      <c r="M738" s="273"/>
    </row>
    <row r="739" spans="12:13" x14ac:dyDescent="0.25">
      <c r="L739" s="273"/>
      <c r="M739" s="273"/>
    </row>
    <row r="740" spans="12:13" x14ac:dyDescent="0.25">
      <c r="L740" s="273"/>
      <c r="M740" s="273"/>
    </row>
    <row r="741" spans="12:13" x14ac:dyDescent="0.25">
      <c r="L741" s="273"/>
      <c r="M741" s="273"/>
    </row>
    <row r="742" spans="12:13" x14ac:dyDescent="0.25">
      <c r="L742" s="273"/>
      <c r="M742" s="273"/>
    </row>
    <row r="743" spans="12:13" x14ac:dyDescent="0.25">
      <c r="L743" s="273"/>
      <c r="M743" s="273"/>
    </row>
    <row r="744" spans="12:13" x14ac:dyDescent="0.25">
      <c r="L744" s="273"/>
      <c r="M744" s="273"/>
    </row>
    <row r="745" spans="12:13" x14ac:dyDescent="0.25">
      <c r="L745" s="273"/>
      <c r="M745" s="273"/>
    </row>
    <row r="746" spans="12:13" x14ac:dyDescent="0.25">
      <c r="L746" s="273"/>
      <c r="M746" s="273"/>
    </row>
    <row r="747" spans="12:13" x14ac:dyDescent="0.25">
      <c r="L747" s="273"/>
      <c r="M747" s="273"/>
    </row>
    <row r="748" spans="12:13" x14ac:dyDescent="0.25">
      <c r="L748" s="273"/>
      <c r="M748" s="273"/>
    </row>
    <row r="749" spans="12:13" x14ac:dyDescent="0.25">
      <c r="L749" s="273"/>
      <c r="M749" s="273"/>
    </row>
    <row r="750" spans="12:13" x14ac:dyDescent="0.25">
      <c r="L750" s="273"/>
      <c r="M750" s="273"/>
    </row>
    <row r="751" spans="12:13" x14ac:dyDescent="0.25">
      <c r="L751" s="273"/>
      <c r="M751" s="273"/>
    </row>
    <row r="752" spans="12:13" x14ac:dyDescent="0.25">
      <c r="L752" s="273"/>
      <c r="M752" s="273"/>
    </row>
    <row r="753" spans="12:13" x14ac:dyDescent="0.25">
      <c r="L753" s="273"/>
      <c r="M753" s="273"/>
    </row>
    <row r="754" spans="12:13" x14ac:dyDescent="0.25">
      <c r="L754" s="273"/>
      <c r="M754" s="273"/>
    </row>
    <row r="755" spans="12:13" x14ac:dyDescent="0.25">
      <c r="L755" s="273"/>
      <c r="M755" s="273"/>
    </row>
    <row r="756" spans="12:13" x14ac:dyDescent="0.25">
      <c r="L756" s="273"/>
      <c r="M756" s="273"/>
    </row>
    <row r="757" spans="12:13" x14ac:dyDescent="0.25">
      <c r="L757" s="273"/>
      <c r="M757" s="273"/>
    </row>
    <row r="758" spans="12:13" x14ac:dyDescent="0.25">
      <c r="L758" s="273"/>
      <c r="M758" s="273"/>
    </row>
    <row r="759" spans="12:13" x14ac:dyDescent="0.25">
      <c r="L759" s="273"/>
      <c r="M759" s="273"/>
    </row>
    <row r="760" spans="12:13" x14ac:dyDescent="0.25">
      <c r="L760" s="273"/>
      <c r="M760" s="273"/>
    </row>
    <row r="761" spans="12:13" x14ac:dyDescent="0.25">
      <c r="L761" s="273"/>
      <c r="M761" s="273"/>
    </row>
    <row r="762" spans="12:13" x14ac:dyDescent="0.25">
      <c r="L762" s="273"/>
      <c r="M762" s="273"/>
    </row>
    <row r="763" spans="12:13" x14ac:dyDescent="0.25">
      <c r="L763" s="273"/>
      <c r="M763" s="273"/>
    </row>
    <row r="764" spans="12:13" x14ac:dyDescent="0.25">
      <c r="L764" s="273"/>
      <c r="M764" s="273"/>
    </row>
    <row r="765" spans="12:13" x14ac:dyDescent="0.25">
      <c r="L765" s="273"/>
      <c r="M765" s="273"/>
    </row>
    <row r="766" spans="12:13" x14ac:dyDescent="0.25">
      <c r="L766" s="273"/>
      <c r="M766" s="273"/>
    </row>
    <row r="767" spans="12:13" x14ac:dyDescent="0.25">
      <c r="L767" s="273"/>
      <c r="M767" s="273"/>
    </row>
    <row r="768" spans="12:13" x14ac:dyDescent="0.25">
      <c r="L768" s="273"/>
      <c r="M768" s="273"/>
    </row>
    <row r="769" spans="12:13" x14ac:dyDescent="0.25">
      <c r="L769" s="273"/>
      <c r="M769" s="273"/>
    </row>
    <row r="770" spans="12:13" x14ac:dyDescent="0.25">
      <c r="L770" s="273"/>
      <c r="M770" s="273"/>
    </row>
    <row r="771" spans="12:13" x14ac:dyDescent="0.25">
      <c r="L771" s="273"/>
      <c r="M771" s="273"/>
    </row>
    <row r="772" spans="12:13" x14ac:dyDescent="0.25">
      <c r="L772" s="273"/>
      <c r="M772" s="273"/>
    </row>
    <row r="773" spans="12:13" x14ac:dyDescent="0.25">
      <c r="L773" s="273"/>
      <c r="M773" s="273"/>
    </row>
    <row r="774" spans="12:13" x14ac:dyDescent="0.25">
      <c r="L774" s="273"/>
      <c r="M774" s="273"/>
    </row>
    <row r="775" spans="12:13" x14ac:dyDescent="0.25">
      <c r="L775" s="273"/>
      <c r="M775" s="273"/>
    </row>
    <row r="776" spans="12:13" x14ac:dyDescent="0.25">
      <c r="L776" s="273"/>
      <c r="M776" s="273"/>
    </row>
    <row r="777" spans="12:13" x14ac:dyDescent="0.25">
      <c r="L777" s="273"/>
      <c r="M777" s="273"/>
    </row>
    <row r="778" spans="12:13" x14ac:dyDescent="0.25">
      <c r="L778" s="273"/>
      <c r="M778" s="273"/>
    </row>
    <row r="779" spans="12:13" x14ac:dyDescent="0.25">
      <c r="L779" s="273"/>
      <c r="M779" s="273"/>
    </row>
    <row r="780" spans="12:13" x14ac:dyDescent="0.25">
      <c r="L780" s="273"/>
      <c r="M780" s="273"/>
    </row>
    <row r="781" spans="12:13" x14ac:dyDescent="0.25">
      <c r="L781" s="273"/>
      <c r="M781" s="273"/>
    </row>
    <row r="782" spans="12:13" x14ac:dyDescent="0.25">
      <c r="L782" s="273"/>
      <c r="M782" s="273"/>
    </row>
    <row r="783" spans="12:13" x14ac:dyDescent="0.25">
      <c r="L783" s="273"/>
      <c r="M783" s="273"/>
    </row>
    <row r="784" spans="12:13" x14ac:dyDescent="0.25">
      <c r="L784" s="273"/>
      <c r="M784" s="273"/>
    </row>
    <row r="785" spans="12:13" x14ac:dyDescent="0.25">
      <c r="L785" s="273"/>
      <c r="M785" s="273"/>
    </row>
    <row r="786" spans="12:13" x14ac:dyDescent="0.25">
      <c r="L786" s="273"/>
      <c r="M786" s="273"/>
    </row>
    <row r="787" spans="12:13" x14ac:dyDescent="0.25">
      <c r="L787" s="273"/>
      <c r="M787" s="273"/>
    </row>
    <row r="788" spans="12:13" x14ac:dyDescent="0.25">
      <c r="L788" s="273"/>
      <c r="M788" s="273"/>
    </row>
    <row r="789" spans="12:13" x14ac:dyDescent="0.25">
      <c r="L789" s="273"/>
      <c r="M789" s="273"/>
    </row>
    <row r="790" spans="12:13" x14ac:dyDescent="0.25">
      <c r="L790" s="273"/>
      <c r="M790" s="273"/>
    </row>
    <row r="791" spans="12:13" x14ac:dyDescent="0.25">
      <c r="L791" s="273"/>
      <c r="M791" s="273"/>
    </row>
    <row r="792" spans="12:13" x14ac:dyDescent="0.25">
      <c r="L792" s="273"/>
      <c r="M792" s="273"/>
    </row>
    <row r="793" spans="12:13" x14ac:dyDescent="0.25">
      <c r="L793" s="273"/>
      <c r="M793" s="273"/>
    </row>
    <row r="794" spans="12:13" x14ac:dyDescent="0.25">
      <c r="L794" s="273"/>
      <c r="M794" s="273"/>
    </row>
    <row r="795" spans="12:13" x14ac:dyDescent="0.25">
      <c r="L795" s="273"/>
      <c r="M795" s="273"/>
    </row>
    <row r="796" spans="12:13" x14ac:dyDescent="0.25">
      <c r="L796" s="273"/>
      <c r="M796" s="273"/>
    </row>
    <row r="797" spans="12:13" x14ac:dyDescent="0.25">
      <c r="L797" s="273"/>
      <c r="M797" s="273"/>
    </row>
    <row r="798" spans="12:13" x14ac:dyDescent="0.25">
      <c r="L798" s="273"/>
      <c r="M798" s="273"/>
    </row>
    <row r="799" spans="12:13" x14ac:dyDescent="0.25">
      <c r="L799" s="273"/>
      <c r="M799" s="273"/>
    </row>
    <row r="800" spans="12:13" x14ac:dyDescent="0.25">
      <c r="L800" s="273"/>
      <c r="M800" s="273"/>
    </row>
    <row r="801" spans="12:13" x14ac:dyDescent="0.25">
      <c r="L801" s="273"/>
      <c r="M801" s="273"/>
    </row>
    <row r="802" spans="12:13" x14ac:dyDescent="0.25">
      <c r="L802" s="273"/>
      <c r="M802" s="273"/>
    </row>
    <row r="803" spans="12:13" x14ac:dyDescent="0.25">
      <c r="L803" s="273"/>
      <c r="M803" s="273"/>
    </row>
    <row r="804" spans="12:13" x14ac:dyDescent="0.25">
      <c r="L804" s="273"/>
      <c r="M804" s="273"/>
    </row>
    <row r="805" spans="12:13" x14ac:dyDescent="0.25">
      <c r="L805" s="273"/>
      <c r="M805" s="273"/>
    </row>
    <row r="806" spans="12:13" x14ac:dyDescent="0.25">
      <c r="L806" s="273"/>
      <c r="M806" s="273"/>
    </row>
    <row r="807" spans="12:13" x14ac:dyDescent="0.25">
      <c r="L807" s="273"/>
      <c r="M807" s="273"/>
    </row>
    <row r="808" spans="12:13" x14ac:dyDescent="0.25">
      <c r="L808" s="273"/>
      <c r="M808" s="273"/>
    </row>
    <row r="809" spans="12:13" x14ac:dyDescent="0.25">
      <c r="L809" s="273"/>
      <c r="M809" s="273"/>
    </row>
    <row r="810" spans="12:13" x14ac:dyDescent="0.25">
      <c r="L810" s="273"/>
      <c r="M810" s="273"/>
    </row>
    <row r="811" spans="12:13" x14ac:dyDescent="0.25">
      <c r="L811" s="273"/>
      <c r="M811" s="273"/>
    </row>
    <row r="812" spans="12:13" x14ac:dyDescent="0.25">
      <c r="L812" s="273"/>
      <c r="M812" s="273"/>
    </row>
    <row r="813" spans="12:13" x14ac:dyDescent="0.25">
      <c r="L813" s="273"/>
      <c r="M813" s="273"/>
    </row>
    <row r="814" spans="12:13" x14ac:dyDescent="0.25">
      <c r="L814" s="273"/>
      <c r="M814" s="273"/>
    </row>
    <row r="815" spans="12:13" x14ac:dyDescent="0.25">
      <c r="L815" s="273"/>
      <c r="M815" s="273"/>
    </row>
    <row r="816" spans="12:13" x14ac:dyDescent="0.25">
      <c r="L816" s="273"/>
      <c r="M816" s="273"/>
    </row>
    <row r="817" spans="12:13" x14ac:dyDescent="0.25">
      <c r="L817" s="273"/>
      <c r="M817" s="273"/>
    </row>
    <row r="818" spans="12:13" x14ac:dyDescent="0.25">
      <c r="L818" s="273"/>
      <c r="M818" s="273"/>
    </row>
    <row r="819" spans="12:13" x14ac:dyDescent="0.25">
      <c r="L819" s="273"/>
      <c r="M819" s="273"/>
    </row>
    <row r="820" spans="12:13" x14ac:dyDescent="0.25">
      <c r="L820" s="273"/>
      <c r="M820" s="273"/>
    </row>
    <row r="821" spans="12:13" x14ac:dyDescent="0.25">
      <c r="L821" s="273"/>
      <c r="M821" s="273"/>
    </row>
    <row r="822" spans="12:13" x14ac:dyDescent="0.25">
      <c r="L822" s="273"/>
      <c r="M822" s="273"/>
    </row>
    <row r="823" spans="12:13" x14ac:dyDescent="0.25">
      <c r="L823" s="273"/>
      <c r="M823" s="273"/>
    </row>
    <row r="824" spans="12:13" x14ac:dyDescent="0.25">
      <c r="L824" s="273"/>
      <c r="M824" s="273"/>
    </row>
    <row r="825" spans="12:13" x14ac:dyDescent="0.25">
      <c r="L825" s="273"/>
      <c r="M825" s="273"/>
    </row>
    <row r="826" spans="12:13" x14ac:dyDescent="0.25">
      <c r="L826" s="273"/>
      <c r="M826" s="273"/>
    </row>
    <row r="827" spans="12:13" x14ac:dyDescent="0.25">
      <c r="L827" s="273"/>
      <c r="M827" s="273"/>
    </row>
    <row r="828" spans="12:13" x14ac:dyDescent="0.25">
      <c r="L828" s="273"/>
      <c r="M828" s="273"/>
    </row>
    <row r="829" spans="12:13" x14ac:dyDescent="0.25">
      <c r="L829" s="273"/>
      <c r="M829" s="273"/>
    </row>
    <row r="830" spans="12:13" x14ac:dyDescent="0.25">
      <c r="L830" s="273"/>
      <c r="M830" s="273"/>
    </row>
    <row r="831" spans="12:13" x14ac:dyDescent="0.25">
      <c r="L831" s="273"/>
      <c r="M831" s="273"/>
    </row>
    <row r="832" spans="12:13" x14ac:dyDescent="0.25">
      <c r="L832" s="273"/>
      <c r="M832" s="273"/>
    </row>
    <row r="833" spans="12:13" x14ac:dyDescent="0.25">
      <c r="L833" s="273"/>
      <c r="M833" s="273"/>
    </row>
    <row r="834" spans="12:13" x14ac:dyDescent="0.25">
      <c r="L834" s="273"/>
      <c r="M834" s="273"/>
    </row>
    <row r="835" spans="12:13" x14ac:dyDescent="0.25">
      <c r="L835" s="273"/>
      <c r="M835" s="273"/>
    </row>
    <row r="836" spans="12:13" x14ac:dyDescent="0.25">
      <c r="L836" s="273"/>
      <c r="M836" s="273"/>
    </row>
    <row r="837" spans="12:13" x14ac:dyDescent="0.25">
      <c r="L837" s="273"/>
      <c r="M837" s="273"/>
    </row>
    <row r="838" spans="12:13" x14ac:dyDescent="0.25">
      <c r="L838" s="273"/>
      <c r="M838" s="273"/>
    </row>
    <row r="839" spans="12:13" x14ac:dyDescent="0.25">
      <c r="L839" s="273"/>
      <c r="M839" s="273"/>
    </row>
    <row r="840" spans="12:13" x14ac:dyDescent="0.25">
      <c r="L840" s="273"/>
      <c r="M840" s="273"/>
    </row>
    <row r="841" spans="12:13" x14ac:dyDescent="0.25">
      <c r="L841" s="273"/>
      <c r="M841" s="273"/>
    </row>
    <row r="842" spans="12:13" x14ac:dyDescent="0.25">
      <c r="L842" s="273"/>
      <c r="M842" s="273"/>
    </row>
    <row r="843" spans="12:13" x14ac:dyDescent="0.25">
      <c r="L843" s="273"/>
      <c r="M843" s="273"/>
    </row>
    <row r="844" spans="12:13" x14ac:dyDescent="0.25">
      <c r="L844" s="273"/>
      <c r="M844" s="273"/>
    </row>
    <row r="845" spans="12:13" x14ac:dyDescent="0.25">
      <c r="L845" s="273"/>
      <c r="M845" s="273"/>
    </row>
    <row r="846" spans="12:13" x14ac:dyDescent="0.25">
      <c r="L846" s="273"/>
      <c r="M846" s="273"/>
    </row>
    <row r="847" spans="12:13" x14ac:dyDescent="0.25">
      <c r="L847" s="273"/>
      <c r="M847" s="273"/>
    </row>
    <row r="848" spans="12:13" x14ac:dyDescent="0.25">
      <c r="L848" s="273"/>
      <c r="M848" s="273"/>
    </row>
    <row r="849" spans="12:13" x14ac:dyDescent="0.25">
      <c r="L849" s="273"/>
      <c r="M849" s="273"/>
    </row>
    <row r="850" spans="12:13" x14ac:dyDescent="0.25">
      <c r="L850" s="273"/>
      <c r="M850" s="273"/>
    </row>
    <row r="851" spans="12:13" x14ac:dyDescent="0.25">
      <c r="L851" s="273"/>
      <c r="M851" s="273"/>
    </row>
    <row r="852" spans="12:13" x14ac:dyDescent="0.25">
      <c r="L852" s="273"/>
      <c r="M852" s="273"/>
    </row>
    <row r="853" spans="12:13" x14ac:dyDescent="0.25">
      <c r="L853" s="273"/>
      <c r="M853" s="273"/>
    </row>
    <row r="854" spans="12:13" x14ac:dyDescent="0.25">
      <c r="L854" s="273"/>
      <c r="M854" s="273"/>
    </row>
    <row r="855" spans="12:13" x14ac:dyDescent="0.25">
      <c r="L855" s="273"/>
      <c r="M855" s="273"/>
    </row>
    <row r="856" spans="12:13" x14ac:dyDescent="0.25">
      <c r="L856" s="273"/>
      <c r="M856" s="273"/>
    </row>
    <row r="857" spans="12:13" x14ac:dyDescent="0.25">
      <c r="L857" s="273"/>
      <c r="M857" s="273"/>
    </row>
    <row r="858" spans="12:13" x14ac:dyDescent="0.25">
      <c r="L858" s="273"/>
      <c r="M858" s="273"/>
    </row>
    <row r="859" spans="12:13" x14ac:dyDescent="0.25">
      <c r="L859" s="273"/>
      <c r="M859" s="273"/>
    </row>
    <row r="860" spans="12:13" x14ac:dyDescent="0.25">
      <c r="L860" s="273"/>
      <c r="M860" s="273"/>
    </row>
    <row r="861" spans="12:13" x14ac:dyDescent="0.25">
      <c r="L861" s="273"/>
      <c r="M861" s="273"/>
    </row>
    <row r="862" spans="12:13" x14ac:dyDescent="0.25">
      <c r="L862" s="273"/>
      <c r="M862" s="273"/>
    </row>
    <row r="863" spans="12:13" x14ac:dyDescent="0.25">
      <c r="L863" s="273"/>
      <c r="M863" s="273"/>
    </row>
    <row r="864" spans="12:13" x14ac:dyDescent="0.25">
      <c r="L864" s="273"/>
      <c r="M864" s="273"/>
    </row>
    <row r="865" spans="12:13" x14ac:dyDescent="0.25">
      <c r="L865" s="273"/>
      <c r="M865" s="273"/>
    </row>
    <row r="866" spans="12:13" x14ac:dyDescent="0.25">
      <c r="L866" s="273"/>
      <c r="M866" s="273"/>
    </row>
    <row r="867" spans="12:13" x14ac:dyDescent="0.25">
      <c r="L867" s="273"/>
      <c r="M867" s="273"/>
    </row>
    <row r="868" spans="12:13" x14ac:dyDescent="0.25">
      <c r="L868" s="273"/>
      <c r="M868" s="273"/>
    </row>
    <row r="869" spans="12:13" x14ac:dyDescent="0.25">
      <c r="L869" s="273"/>
      <c r="M869" s="273"/>
    </row>
    <row r="870" spans="12:13" x14ac:dyDescent="0.25">
      <c r="L870" s="273"/>
      <c r="M870" s="273"/>
    </row>
    <row r="871" spans="12:13" x14ac:dyDescent="0.25">
      <c r="L871" s="273"/>
      <c r="M871" s="273"/>
    </row>
    <row r="872" spans="12:13" x14ac:dyDescent="0.25">
      <c r="L872" s="273"/>
      <c r="M872" s="273"/>
    </row>
    <row r="873" spans="12:13" x14ac:dyDescent="0.25">
      <c r="L873" s="273"/>
      <c r="M873" s="273"/>
    </row>
    <row r="874" spans="12:13" x14ac:dyDescent="0.25">
      <c r="L874" s="273"/>
      <c r="M874" s="273"/>
    </row>
    <row r="875" spans="12:13" x14ac:dyDescent="0.25">
      <c r="L875" s="273"/>
      <c r="M875" s="273"/>
    </row>
    <row r="876" spans="12:13" x14ac:dyDescent="0.25">
      <c r="L876" s="273"/>
      <c r="M876" s="273"/>
    </row>
    <row r="877" spans="12:13" x14ac:dyDescent="0.25">
      <c r="L877" s="273"/>
      <c r="M877" s="273"/>
    </row>
    <row r="878" spans="12:13" x14ac:dyDescent="0.25">
      <c r="L878" s="273"/>
      <c r="M878" s="273"/>
    </row>
    <row r="879" spans="12:13" x14ac:dyDescent="0.25">
      <c r="L879" s="273"/>
      <c r="M879" s="273"/>
    </row>
    <row r="880" spans="12:13" x14ac:dyDescent="0.25">
      <c r="L880" s="273"/>
      <c r="M880" s="273"/>
    </row>
    <row r="881" spans="12:13" x14ac:dyDescent="0.25">
      <c r="L881" s="273"/>
      <c r="M881" s="273"/>
    </row>
    <row r="882" spans="12:13" x14ac:dyDescent="0.25">
      <c r="L882" s="273"/>
      <c r="M882" s="273"/>
    </row>
    <row r="883" spans="12:13" x14ac:dyDescent="0.25">
      <c r="L883" s="273"/>
      <c r="M883" s="273"/>
    </row>
    <row r="884" spans="12:13" x14ac:dyDescent="0.25">
      <c r="L884" s="273"/>
      <c r="M884" s="273"/>
    </row>
    <row r="885" spans="12:13" x14ac:dyDescent="0.25">
      <c r="L885" s="273"/>
      <c r="M885" s="273"/>
    </row>
    <row r="886" spans="12:13" x14ac:dyDescent="0.25">
      <c r="L886" s="273"/>
      <c r="M886" s="273"/>
    </row>
    <row r="887" spans="12:13" x14ac:dyDescent="0.25">
      <c r="L887" s="273"/>
      <c r="M887" s="273"/>
    </row>
    <row r="888" spans="12:13" x14ac:dyDescent="0.25">
      <c r="L888" s="273"/>
      <c r="M888" s="273"/>
    </row>
    <row r="889" spans="12:13" x14ac:dyDescent="0.25">
      <c r="L889" s="273"/>
      <c r="M889" s="273"/>
    </row>
    <row r="890" spans="12:13" x14ac:dyDescent="0.25">
      <c r="L890" s="273"/>
      <c r="M890" s="273"/>
    </row>
    <row r="891" spans="12:13" x14ac:dyDescent="0.25">
      <c r="L891" s="273"/>
      <c r="M891" s="273"/>
    </row>
    <row r="892" spans="12:13" x14ac:dyDescent="0.25">
      <c r="L892" s="273"/>
      <c r="M892" s="273"/>
    </row>
    <row r="893" spans="12:13" x14ac:dyDescent="0.25">
      <c r="L893" s="273"/>
      <c r="M893" s="273"/>
    </row>
    <row r="894" spans="12:13" x14ac:dyDescent="0.25">
      <c r="L894" s="273"/>
      <c r="M894" s="273"/>
    </row>
    <row r="895" spans="12:13" x14ac:dyDescent="0.25">
      <c r="L895" s="273"/>
      <c r="M895" s="273"/>
    </row>
    <row r="896" spans="12:13" x14ac:dyDescent="0.25">
      <c r="L896" s="273"/>
      <c r="M896" s="273"/>
    </row>
    <row r="897" spans="12:13" x14ac:dyDescent="0.25">
      <c r="L897" s="273"/>
      <c r="M897" s="273"/>
    </row>
    <row r="898" spans="12:13" x14ac:dyDescent="0.25">
      <c r="L898" s="273"/>
      <c r="M898" s="273"/>
    </row>
    <row r="899" spans="12:13" x14ac:dyDescent="0.25">
      <c r="L899" s="273"/>
      <c r="M899" s="273"/>
    </row>
    <row r="900" spans="12:13" x14ac:dyDescent="0.25">
      <c r="L900" s="273"/>
      <c r="M900" s="273"/>
    </row>
    <row r="901" spans="12:13" x14ac:dyDescent="0.25">
      <c r="L901" s="273"/>
      <c r="M901" s="273"/>
    </row>
    <row r="902" spans="12:13" x14ac:dyDescent="0.25">
      <c r="L902" s="273"/>
      <c r="M902" s="273"/>
    </row>
    <row r="903" spans="12:13" x14ac:dyDescent="0.25">
      <c r="L903" s="273"/>
      <c r="M903" s="273"/>
    </row>
    <row r="904" spans="12:13" x14ac:dyDescent="0.25">
      <c r="L904" s="273"/>
      <c r="M904" s="273"/>
    </row>
    <row r="905" spans="12:13" x14ac:dyDescent="0.25">
      <c r="L905" s="273"/>
      <c r="M905" s="273"/>
    </row>
    <row r="906" spans="12:13" x14ac:dyDescent="0.25">
      <c r="L906" s="273"/>
      <c r="M906" s="273"/>
    </row>
    <row r="907" spans="12:13" x14ac:dyDescent="0.25">
      <c r="L907" s="273"/>
      <c r="M907" s="273"/>
    </row>
    <row r="908" spans="12:13" x14ac:dyDescent="0.25">
      <c r="L908" s="273"/>
      <c r="M908" s="273"/>
    </row>
    <row r="909" spans="12:13" x14ac:dyDescent="0.25">
      <c r="L909" s="273"/>
      <c r="M909" s="273"/>
    </row>
    <row r="910" spans="12:13" x14ac:dyDescent="0.25">
      <c r="L910" s="273"/>
      <c r="M910" s="273"/>
    </row>
    <row r="911" spans="12:13" x14ac:dyDescent="0.25">
      <c r="L911" s="273"/>
      <c r="M911" s="273"/>
    </row>
    <row r="912" spans="12:13" x14ac:dyDescent="0.25">
      <c r="L912" s="273"/>
      <c r="M912" s="273"/>
    </row>
    <row r="913" spans="12:13" x14ac:dyDescent="0.25">
      <c r="L913" s="273"/>
      <c r="M913" s="273"/>
    </row>
    <row r="914" spans="12:13" x14ac:dyDescent="0.25">
      <c r="L914" s="273"/>
      <c r="M914" s="273"/>
    </row>
    <row r="915" spans="12:13" x14ac:dyDescent="0.25">
      <c r="L915" s="273"/>
      <c r="M915" s="273"/>
    </row>
    <row r="916" spans="12:13" x14ac:dyDescent="0.25">
      <c r="L916" s="273"/>
      <c r="M916" s="273"/>
    </row>
    <row r="917" spans="12:13" x14ac:dyDescent="0.25">
      <c r="L917" s="273"/>
      <c r="M917" s="273"/>
    </row>
    <row r="918" spans="12:13" x14ac:dyDescent="0.25">
      <c r="L918" s="273"/>
      <c r="M918" s="273"/>
    </row>
    <row r="919" spans="12:13" x14ac:dyDescent="0.25">
      <c r="L919" s="273"/>
      <c r="M919" s="273"/>
    </row>
    <row r="920" spans="12:13" x14ac:dyDescent="0.25">
      <c r="L920" s="273"/>
      <c r="M920" s="273"/>
    </row>
    <row r="921" spans="12:13" x14ac:dyDescent="0.25">
      <c r="L921" s="273"/>
      <c r="M921" s="273"/>
    </row>
    <row r="922" spans="12:13" x14ac:dyDescent="0.25">
      <c r="L922" s="273"/>
      <c r="M922" s="273"/>
    </row>
    <row r="923" spans="12:13" x14ac:dyDescent="0.25">
      <c r="L923" s="273"/>
      <c r="M923" s="273"/>
    </row>
    <row r="924" spans="12:13" x14ac:dyDescent="0.25">
      <c r="L924" s="273"/>
      <c r="M924" s="273"/>
    </row>
    <row r="925" spans="12:13" x14ac:dyDescent="0.25">
      <c r="L925" s="273"/>
      <c r="M925" s="273"/>
    </row>
    <row r="926" spans="12:13" x14ac:dyDescent="0.25">
      <c r="L926" s="273"/>
      <c r="M926" s="273"/>
    </row>
    <row r="927" spans="12:13" x14ac:dyDescent="0.25">
      <c r="L927" s="273"/>
      <c r="M927" s="273"/>
    </row>
    <row r="928" spans="12:13" x14ac:dyDescent="0.25">
      <c r="L928" s="273"/>
      <c r="M928" s="273"/>
    </row>
    <row r="929" spans="12:13" x14ac:dyDescent="0.25">
      <c r="L929" s="273"/>
      <c r="M929" s="273"/>
    </row>
    <row r="930" spans="12:13" x14ac:dyDescent="0.25">
      <c r="L930" s="273"/>
      <c r="M930" s="273"/>
    </row>
    <row r="931" spans="12:13" x14ac:dyDescent="0.25">
      <c r="L931" s="273"/>
      <c r="M931" s="273"/>
    </row>
    <row r="932" spans="12:13" x14ac:dyDescent="0.25">
      <c r="L932" s="273"/>
      <c r="M932" s="273"/>
    </row>
    <row r="933" spans="12:13" x14ac:dyDescent="0.25">
      <c r="L933" s="273"/>
      <c r="M933" s="273"/>
    </row>
    <row r="934" spans="12:13" x14ac:dyDescent="0.25">
      <c r="L934" s="273"/>
      <c r="M934" s="273"/>
    </row>
    <row r="935" spans="12:13" x14ac:dyDescent="0.25">
      <c r="L935" s="273"/>
      <c r="M935" s="273"/>
    </row>
    <row r="936" spans="12:13" x14ac:dyDescent="0.25">
      <c r="L936" s="273"/>
      <c r="M936" s="273"/>
    </row>
    <row r="937" spans="12:13" x14ac:dyDescent="0.25">
      <c r="L937" s="273"/>
      <c r="M937" s="273"/>
    </row>
    <row r="938" spans="12:13" x14ac:dyDescent="0.25">
      <c r="L938" s="273"/>
      <c r="M938" s="273"/>
    </row>
    <row r="939" spans="12:13" x14ac:dyDescent="0.25">
      <c r="L939" s="273"/>
      <c r="M939" s="273"/>
    </row>
    <row r="940" spans="12:13" x14ac:dyDescent="0.25">
      <c r="L940" s="273"/>
      <c r="M940" s="273"/>
    </row>
    <row r="941" spans="12:13" x14ac:dyDescent="0.25">
      <c r="L941" s="273"/>
      <c r="M941" s="273"/>
    </row>
    <row r="942" spans="12:13" x14ac:dyDescent="0.25">
      <c r="L942" s="273"/>
      <c r="M942" s="273"/>
    </row>
    <row r="943" spans="12:13" x14ac:dyDescent="0.25">
      <c r="L943" s="273"/>
      <c r="M943" s="273"/>
    </row>
    <row r="944" spans="12:13" x14ac:dyDescent="0.25">
      <c r="L944" s="273"/>
      <c r="M944" s="273"/>
    </row>
    <row r="945" spans="12:13" x14ac:dyDescent="0.25">
      <c r="L945" s="273"/>
      <c r="M945" s="273"/>
    </row>
    <row r="946" spans="12:13" x14ac:dyDescent="0.25">
      <c r="L946" s="273"/>
      <c r="M946" s="273"/>
    </row>
    <row r="947" spans="12:13" x14ac:dyDescent="0.25">
      <c r="L947" s="273"/>
      <c r="M947" s="273"/>
    </row>
    <row r="948" spans="12:13" x14ac:dyDescent="0.25">
      <c r="L948" s="273"/>
      <c r="M948" s="273"/>
    </row>
    <row r="949" spans="12:13" x14ac:dyDescent="0.25">
      <c r="L949" s="273"/>
      <c r="M949" s="273"/>
    </row>
    <row r="950" spans="12:13" x14ac:dyDescent="0.25">
      <c r="L950" s="273"/>
      <c r="M950" s="273"/>
    </row>
    <row r="951" spans="12:13" x14ac:dyDescent="0.25">
      <c r="L951" s="273"/>
      <c r="M951" s="273"/>
    </row>
    <row r="952" spans="12:13" x14ac:dyDescent="0.25">
      <c r="L952" s="273"/>
      <c r="M952" s="273"/>
    </row>
    <row r="953" spans="12:13" x14ac:dyDescent="0.25">
      <c r="L953" s="273"/>
      <c r="M953" s="273"/>
    </row>
    <row r="954" spans="12:13" x14ac:dyDescent="0.25">
      <c r="L954" s="273"/>
      <c r="M954" s="273"/>
    </row>
    <row r="955" spans="12:13" x14ac:dyDescent="0.25">
      <c r="L955" s="273"/>
      <c r="M955" s="273"/>
    </row>
    <row r="956" spans="12:13" x14ac:dyDescent="0.25">
      <c r="L956" s="273"/>
      <c r="M956" s="273"/>
    </row>
    <row r="957" spans="12:13" x14ac:dyDescent="0.25">
      <c r="L957" s="273"/>
      <c r="M957" s="273"/>
    </row>
    <row r="958" spans="12:13" x14ac:dyDescent="0.25">
      <c r="L958" s="273"/>
      <c r="M958" s="273"/>
    </row>
    <row r="959" spans="12:13" x14ac:dyDescent="0.25">
      <c r="L959" s="273"/>
      <c r="M959" s="273"/>
    </row>
    <row r="960" spans="12:13" x14ac:dyDescent="0.25">
      <c r="L960" s="273"/>
      <c r="M960" s="273"/>
    </row>
    <row r="961" spans="12:13" x14ac:dyDescent="0.25">
      <c r="L961" s="273"/>
      <c r="M961" s="273"/>
    </row>
    <row r="962" spans="12:13" x14ac:dyDescent="0.25">
      <c r="L962" s="273"/>
      <c r="M962" s="273"/>
    </row>
    <row r="963" spans="12:13" x14ac:dyDescent="0.25">
      <c r="L963" s="273"/>
      <c r="M963" s="273"/>
    </row>
    <row r="964" spans="12:13" x14ac:dyDescent="0.25">
      <c r="L964" s="273"/>
      <c r="M964" s="273"/>
    </row>
    <row r="965" spans="12:13" x14ac:dyDescent="0.25">
      <c r="L965" s="273"/>
      <c r="M965" s="273"/>
    </row>
    <row r="966" spans="12:13" x14ac:dyDescent="0.25">
      <c r="L966" s="273"/>
      <c r="M966" s="273"/>
    </row>
    <row r="967" spans="12:13" x14ac:dyDescent="0.25">
      <c r="L967" s="273"/>
      <c r="M967" s="273"/>
    </row>
    <row r="968" spans="12:13" x14ac:dyDescent="0.25">
      <c r="L968" s="273"/>
      <c r="M968" s="273"/>
    </row>
    <row r="969" spans="12:13" x14ac:dyDescent="0.25">
      <c r="L969" s="273"/>
      <c r="M969" s="273"/>
    </row>
    <row r="970" spans="12:13" x14ac:dyDescent="0.25">
      <c r="L970" s="273"/>
      <c r="M970" s="273"/>
    </row>
    <row r="971" spans="12:13" x14ac:dyDescent="0.25">
      <c r="L971" s="273"/>
      <c r="M971" s="273"/>
    </row>
    <row r="972" spans="12:13" x14ac:dyDescent="0.25">
      <c r="L972" s="273"/>
      <c r="M972" s="273"/>
    </row>
    <row r="973" spans="12:13" x14ac:dyDescent="0.25">
      <c r="L973" s="273"/>
      <c r="M973" s="273"/>
    </row>
    <row r="974" spans="12:13" x14ac:dyDescent="0.25">
      <c r="L974" s="273"/>
      <c r="M974" s="273"/>
    </row>
    <row r="975" spans="12:13" x14ac:dyDescent="0.25">
      <c r="L975" s="273"/>
      <c r="M975" s="273"/>
    </row>
    <row r="976" spans="12:13" x14ac:dyDescent="0.25">
      <c r="L976" s="273"/>
      <c r="M976" s="273"/>
    </row>
    <row r="977" spans="12:13" x14ac:dyDescent="0.25">
      <c r="L977" s="273"/>
      <c r="M977" s="273"/>
    </row>
    <row r="978" spans="12:13" x14ac:dyDescent="0.25">
      <c r="L978" s="273"/>
      <c r="M978" s="273"/>
    </row>
    <row r="979" spans="12:13" x14ac:dyDescent="0.25">
      <c r="L979" s="273"/>
      <c r="M979" s="273"/>
    </row>
    <row r="980" spans="12:13" x14ac:dyDescent="0.25">
      <c r="L980" s="273"/>
      <c r="M980" s="273"/>
    </row>
    <row r="981" spans="12:13" x14ac:dyDescent="0.25">
      <c r="L981" s="273"/>
      <c r="M981" s="273"/>
    </row>
    <row r="982" spans="12:13" x14ac:dyDescent="0.25">
      <c r="L982" s="273"/>
      <c r="M982" s="273"/>
    </row>
    <row r="983" spans="12:13" x14ac:dyDescent="0.25">
      <c r="L983" s="273"/>
      <c r="M983" s="273"/>
    </row>
    <row r="984" spans="12:13" x14ac:dyDescent="0.25">
      <c r="L984" s="273"/>
      <c r="M984" s="273"/>
    </row>
    <row r="985" spans="12:13" x14ac:dyDescent="0.25">
      <c r="L985" s="273"/>
      <c r="M985" s="273"/>
    </row>
    <row r="986" spans="12:13" x14ac:dyDescent="0.25">
      <c r="L986" s="273"/>
      <c r="M986" s="273"/>
    </row>
    <row r="987" spans="12:13" x14ac:dyDescent="0.25">
      <c r="L987" s="273"/>
      <c r="M987" s="273"/>
    </row>
    <row r="988" spans="12:13" x14ac:dyDescent="0.25">
      <c r="L988" s="273"/>
      <c r="M988" s="273"/>
    </row>
    <row r="989" spans="12:13" x14ac:dyDescent="0.25">
      <c r="L989" s="273"/>
      <c r="M989" s="273"/>
    </row>
    <row r="990" spans="12:13" x14ac:dyDescent="0.25">
      <c r="L990" s="273"/>
      <c r="M990" s="273"/>
    </row>
    <row r="991" spans="12:13" x14ac:dyDescent="0.25">
      <c r="L991" s="273"/>
      <c r="M991" s="273"/>
    </row>
    <row r="992" spans="12:13" x14ac:dyDescent="0.25">
      <c r="L992" s="273"/>
      <c r="M992" s="273"/>
    </row>
    <row r="993" spans="12:13" x14ac:dyDescent="0.25">
      <c r="L993" s="273"/>
      <c r="M993" s="273"/>
    </row>
    <row r="994" spans="12:13" x14ac:dyDescent="0.25">
      <c r="L994" s="273"/>
      <c r="M994" s="273"/>
    </row>
    <row r="995" spans="12:13" x14ac:dyDescent="0.25">
      <c r="L995" s="273"/>
      <c r="M995" s="273"/>
    </row>
    <row r="996" spans="12:13" x14ac:dyDescent="0.25">
      <c r="L996" s="273"/>
      <c r="M996" s="273"/>
    </row>
    <row r="997" spans="12:13" x14ac:dyDescent="0.25">
      <c r="L997" s="273"/>
      <c r="M997" s="273"/>
    </row>
    <row r="998" spans="12:13" x14ac:dyDescent="0.25">
      <c r="L998" s="273"/>
      <c r="M998" s="273"/>
    </row>
    <row r="999" spans="12:13" x14ac:dyDescent="0.25">
      <c r="L999" s="273"/>
      <c r="M999" s="273"/>
    </row>
    <row r="1000" spans="12:13" x14ac:dyDescent="0.25">
      <c r="L1000" s="273"/>
      <c r="M1000" s="273"/>
    </row>
    <row r="1001" spans="12:13" x14ac:dyDescent="0.25">
      <c r="L1001" s="273"/>
      <c r="M1001" s="273"/>
    </row>
    <row r="1002" spans="12:13" x14ac:dyDescent="0.25">
      <c r="L1002" s="273"/>
      <c r="M1002" s="273"/>
    </row>
    <row r="1003" spans="12:13" x14ac:dyDescent="0.25">
      <c r="L1003" s="273"/>
      <c r="M1003" s="273"/>
    </row>
    <row r="1004" spans="12:13" x14ac:dyDescent="0.25">
      <c r="L1004" s="273"/>
      <c r="M1004" s="273"/>
    </row>
    <row r="1005" spans="12:13" x14ac:dyDescent="0.25">
      <c r="L1005" s="273"/>
      <c r="M1005" s="273"/>
    </row>
    <row r="1006" spans="12:13" x14ac:dyDescent="0.25">
      <c r="L1006" s="273"/>
      <c r="M1006" s="273"/>
    </row>
    <row r="1007" spans="12:13" x14ac:dyDescent="0.25">
      <c r="L1007" s="273"/>
      <c r="M1007" s="273"/>
    </row>
    <row r="1008" spans="12:13" x14ac:dyDescent="0.25">
      <c r="L1008" s="273"/>
      <c r="M1008" s="273"/>
    </row>
    <row r="1009" spans="12:13" x14ac:dyDescent="0.25">
      <c r="L1009" s="273"/>
      <c r="M1009" s="273"/>
    </row>
    <row r="1010" spans="12:13" x14ac:dyDescent="0.25">
      <c r="L1010" s="273"/>
      <c r="M1010" s="273"/>
    </row>
    <row r="1011" spans="12:13" x14ac:dyDescent="0.25">
      <c r="L1011" s="273"/>
      <c r="M1011" s="273"/>
    </row>
    <row r="1012" spans="12:13" x14ac:dyDescent="0.25">
      <c r="L1012" s="273"/>
      <c r="M1012" s="273"/>
    </row>
    <row r="1013" spans="12:13" x14ac:dyDescent="0.25">
      <c r="L1013" s="273"/>
      <c r="M1013" s="273"/>
    </row>
    <row r="1014" spans="12:13" x14ac:dyDescent="0.25">
      <c r="L1014" s="273"/>
      <c r="M1014" s="273"/>
    </row>
    <row r="1015" spans="12:13" x14ac:dyDescent="0.25">
      <c r="L1015" s="273"/>
      <c r="M1015" s="273"/>
    </row>
    <row r="1016" spans="12:13" x14ac:dyDescent="0.25">
      <c r="L1016" s="273"/>
      <c r="M1016" s="273"/>
    </row>
    <row r="1017" spans="12:13" x14ac:dyDescent="0.25">
      <c r="L1017" s="273"/>
      <c r="M1017" s="273"/>
    </row>
    <row r="1018" spans="12:13" x14ac:dyDescent="0.25">
      <c r="L1018" s="273"/>
      <c r="M1018" s="273"/>
    </row>
    <row r="1019" spans="12:13" x14ac:dyDescent="0.25">
      <c r="L1019" s="273"/>
      <c r="M1019" s="273"/>
    </row>
    <row r="1020" spans="12:13" x14ac:dyDescent="0.25">
      <c r="L1020" s="273"/>
      <c r="M1020" s="273"/>
    </row>
    <row r="1021" spans="12:13" x14ac:dyDescent="0.25">
      <c r="L1021" s="273"/>
      <c r="M1021" s="273"/>
    </row>
    <row r="1022" spans="12:13" x14ac:dyDescent="0.25">
      <c r="L1022" s="273"/>
      <c r="M1022" s="273"/>
    </row>
    <row r="1023" spans="12:13" x14ac:dyDescent="0.25">
      <c r="L1023" s="273"/>
      <c r="M1023" s="273"/>
    </row>
    <row r="1024" spans="12:13" x14ac:dyDescent="0.25">
      <c r="L1024" s="273"/>
      <c r="M1024" s="273"/>
    </row>
    <row r="1025" spans="12:13" x14ac:dyDescent="0.25">
      <c r="L1025" s="273"/>
      <c r="M1025" s="273"/>
    </row>
    <row r="1026" spans="12:13" x14ac:dyDescent="0.25">
      <c r="L1026" s="273"/>
      <c r="M1026" s="273"/>
    </row>
    <row r="1027" spans="12:13" ht="35.450000000000003" customHeight="1" x14ac:dyDescent="0.25">
      <c r="L1027" s="273"/>
      <c r="M1027" s="273"/>
    </row>
    <row r="1028" spans="12:13" ht="20.45" customHeight="1" x14ac:dyDescent="0.25">
      <c r="L1028" s="273"/>
      <c r="M1028" s="273"/>
    </row>
    <row r="1029" spans="12:13" x14ac:dyDescent="0.25">
      <c r="L1029" s="273"/>
      <c r="M1029" s="273"/>
    </row>
    <row r="1030" spans="12:13" x14ac:dyDescent="0.25">
      <c r="L1030" s="273"/>
      <c r="M1030" s="273"/>
    </row>
    <row r="1031" spans="12:13" x14ac:dyDescent="0.25">
      <c r="L1031" s="273"/>
      <c r="M1031" s="273"/>
    </row>
    <row r="1032" spans="12:13" x14ac:dyDescent="0.25">
      <c r="L1032" s="273"/>
      <c r="M1032" s="273"/>
    </row>
    <row r="1033" spans="12:13" ht="29.45" customHeight="1" x14ac:dyDescent="0.25">
      <c r="L1033" s="273"/>
      <c r="M1033" s="273"/>
    </row>
    <row r="1034" spans="12:13" x14ac:dyDescent="0.25">
      <c r="L1034" s="273"/>
      <c r="M1034" s="273"/>
    </row>
    <row r="1035" spans="12:13" x14ac:dyDescent="0.25">
      <c r="L1035" s="273"/>
      <c r="M1035" s="273"/>
    </row>
    <row r="1036" spans="12:13" x14ac:dyDescent="0.25">
      <c r="L1036" s="273"/>
      <c r="M1036" s="273"/>
    </row>
    <row r="1037" spans="12:13" x14ac:dyDescent="0.25">
      <c r="L1037" s="273"/>
      <c r="M1037" s="273"/>
    </row>
    <row r="1038" spans="12:13" x14ac:dyDescent="0.25">
      <c r="L1038" s="273"/>
      <c r="M1038" s="273"/>
    </row>
    <row r="1039" spans="12:13" x14ac:dyDescent="0.25">
      <c r="L1039" s="273"/>
      <c r="M1039" s="273"/>
    </row>
    <row r="1040" spans="12:13" x14ac:dyDescent="0.25">
      <c r="L1040" s="273"/>
      <c r="M1040" s="273"/>
    </row>
    <row r="1041" spans="12:13" x14ac:dyDescent="0.25">
      <c r="L1041" s="273"/>
      <c r="M1041" s="273"/>
    </row>
    <row r="1042" spans="12:13" x14ac:dyDescent="0.25">
      <c r="L1042" s="273"/>
      <c r="M1042" s="273"/>
    </row>
    <row r="1043" spans="12:13" x14ac:dyDescent="0.25">
      <c r="L1043" s="273"/>
      <c r="M1043" s="273"/>
    </row>
    <row r="1044" spans="12:13" x14ac:dyDescent="0.25">
      <c r="L1044" s="273"/>
      <c r="M1044" s="273"/>
    </row>
    <row r="1045" spans="12:13" x14ac:dyDescent="0.25">
      <c r="L1045" s="273"/>
      <c r="M1045" s="273"/>
    </row>
    <row r="1046" spans="12:13" x14ac:dyDescent="0.25">
      <c r="L1046" s="273"/>
      <c r="M1046" s="273"/>
    </row>
    <row r="1047" spans="12:13" x14ac:dyDescent="0.25">
      <c r="L1047" s="273"/>
      <c r="M1047" s="273"/>
    </row>
    <row r="1048" spans="12:13" x14ac:dyDescent="0.25">
      <c r="L1048" s="273"/>
      <c r="M1048" s="273"/>
    </row>
    <row r="1049" spans="12:13" x14ac:dyDescent="0.25">
      <c r="L1049" s="264"/>
      <c r="M1049" s="264"/>
    </row>
    <row r="1056" spans="12:13" ht="31.9" customHeight="1" x14ac:dyDescent="0.25"/>
  </sheetData>
  <autoFilter ref="A9:J368" xr:uid="{00000000-0009-0000-0000-000002000000}"/>
  <mergeCells count="75">
    <mergeCell ref="B152:C152"/>
    <mergeCell ref="B203:C203"/>
    <mergeCell ref="B220:C220"/>
    <mergeCell ref="B248:C248"/>
    <mergeCell ref="B275:C275"/>
    <mergeCell ref="B154:I154"/>
    <mergeCell ref="B166:I166"/>
    <mergeCell ref="B178:I178"/>
    <mergeCell ref="B251:I251"/>
    <mergeCell ref="B260:C260"/>
    <mergeCell ref="A205:J205"/>
    <mergeCell ref="A222:J222"/>
    <mergeCell ref="A250:J250"/>
    <mergeCell ref="B136:C136"/>
    <mergeCell ref="B50:C50"/>
    <mergeCell ref="B62:C62"/>
    <mergeCell ref="B41:I41"/>
    <mergeCell ref="B53:I53"/>
    <mergeCell ref="B115:I115"/>
    <mergeCell ref="B127:I127"/>
    <mergeCell ref="B65:I65"/>
    <mergeCell ref="B77:I77"/>
    <mergeCell ref="B103:I103"/>
    <mergeCell ref="B74:C74"/>
    <mergeCell ref="B86:C86"/>
    <mergeCell ref="B124:C124"/>
    <mergeCell ref="B112:C112"/>
    <mergeCell ref="B101:C101"/>
    <mergeCell ref="A370:I370"/>
    <mergeCell ref="B206:I206"/>
    <mergeCell ref="A372:I372"/>
    <mergeCell ref="B163:C163"/>
    <mergeCell ref="B175:C175"/>
    <mergeCell ref="B277:I277"/>
    <mergeCell ref="B286:C286"/>
    <mergeCell ref="B302:C302"/>
    <mergeCell ref="B342:C342"/>
    <mergeCell ref="B368:C368"/>
    <mergeCell ref="E5:F5"/>
    <mergeCell ref="G5:J5"/>
    <mergeCell ref="A374:D378"/>
    <mergeCell ref="E374:J378"/>
    <mergeCell ref="A373:J373"/>
    <mergeCell ref="B187:C187"/>
    <mergeCell ref="B215:C215"/>
    <mergeCell ref="B304:I304"/>
    <mergeCell ref="B313:C313"/>
    <mergeCell ref="B316:I316"/>
    <mergeCell ref="B325:C325"/>
    <mergeCell ref="B344:I344"/>
    <mergeCell ref="B353:C353"/>
    <mergeCell ref="B223:I223"/>
    <mergeCell ref="B232:C232"/>
    <mergeCell ref="A371:I371"/>
    <mergeCell ref="E1:J1"/>
    <mergeCell ref="E2:F3"/>
    <mergeCell ref="G2:J3"/>
    <mergeCell ref="E4:F4"/>
    <mergeCell ref="G4:J4"/>
    <mergeCell ref="E6:F6"/>
    <mergeCell ref="G6:J6"/>
    <mergeCell ref="A28:J28"/>
    <mergeCell ref="B38:C38"/>
    <mergeCell ref="B29:I29"/>
    <mergeCell ref="E7:F7"/>
    <mergeCell ref="G7:J7"/>
    <mergeCell ref="B8:J8"/>
    <mergeCell ref="B10:I10"/>
    <mergeCell ref="B13:I13"/>
    <mergeCell ref="B11:C11"/>
    <mergeCell ref="B21:I21"/>
    <mergeCell ref="B14:C14"/>
    <mergeCell ref="B15:C15"/>
    <mergeCell ref="B18:C18"/>
    <mergeCell ref="B24:C24"/>
  </mergeCells>
  <printOptions horizontalCentered="1"/>
  <pageMargins left="0.78740157480314965" right="0.78740157480314965" top="0.35433070866141736" bottom="0.47244094488188981" header="0.31496062992125984" footer="0.31496062992125984"/>
  <pageSetup paperSize="9" scale="80" fitToHeight="0" orientation="landscape" r:id="rId1"/>
  <headerFooter>
    <oddFooter>&amp;C&amp;"Arial Narrow,Normal"Página &amp;P</oddFooter>
  </headerFooter>
  <rowBreaks count="1" manualBreakCount="1">
    <brk id="340" max="9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2060"/>
  </sheetPr>
  <dimension ref="A1:N38"/>
  <sheetViews>
    <sheetView view="pageBreakPreview" topLeftCell="B1" zoomScaleNormal="100" zoomScaleSheetLayoutView="100" workbookViewId="0">
      <selection activeCell="B8" sqref="B8:N8"/>
    </sheetView>
  </sheetViews>
  <sheetFormatPr defaultRowHeight="15" x14ac:dyDescent="0.25"/>
  <cols>
    <col min="2" max="2" width="27.28515625" customWidth="1"/>
    <col min="3" max="3" width="15" bestFit="1" customWidth="1"/>
    <col min="4" max="4" width="13.7109375" customWidth="1"/>
    <col min="5" max="5" width="15" customWidth="1"/>
    <col min="6" max="8" width="15" bestFit="1" customWidth="1"/>
    <col min="9" max="10" width="16" bestFit="1" customWidth="1"/>
    <col min="11" max="11" width="15" bestFit="1" customWidth="1"/>
    <col min="12" max="13" width="12.7109375" hidden="1" customWidth="1"/>
    <col min="14" max="14" width="24" customWidth="1"/>
  </cols>
  <sheetData>
    <row r="1" spans="1:14" ht="16.5" x14ac:dyDescent="0.3">
      <c r="A1" s="93"/>
      <c r="B1" s="94"/>
      <c r="C1" s="94"/>
      <c r="D1" s="94"/>
      <c r="E1" s="240"/>
      <c r="F1" s="240"/>
      <c r="G1" s="240"/>
      <c r="H1" s="241"/>
      <c r="I1" s="855" t="s">
        <v>289</v>
      </c>
      <c r="J1" s="855"/>
      <c r="K1" s="855"/>
      <c r="L1" s="855"/>
      <c r="M1" s="855"/>
      <c r="N1" s="856"/>
    </row>
    <row r="2" spans="1:14" ht="24" customHeight="1" x14ac:dyDescent="0.3">
      <c r="A2" s="97"/>
      <c r="B2" s="218"/>
      <c r="C2" s="29"/>
      <c r="D2" s="29"/>
      <c r="E2" s="52" t="s">
        <v>0</v>
      </c>
      <c r="F2" s="218"/>
      <c r="G2" s="218"/>
      <c r="H2" s="219"/>
      <c r="I2" s="779" t="s">
        <v>22</v>
      </c>
      <c r="J2" s="858"/>
      <c r="K2" s="783" t="s">
        <v>832</v>
      </c>
      <c r="L2" s="783"/>
      <c r="M2" s="783"/>
      <c r="N2" s="783"/>
    </row>
    <row r="3" spans="1:14" ht="16.5" x14ac:dyDescent="0.3">
      <c r="A3" s="97"/>
      <c r="B3" s="218"/>
      <c r="C3" s="29"/>
      <c r="D3" s="29"/>
      <c r="E3" s="53" t="s">
        <v>1</v>
      </c>
      <c r="F3" s="218"/>
      <c r="G3" s="218"/>
      <c r="H3" s="219"/>
      <c r="I3" s="781"/>
      <c r="J3" s="859"/>
      <c r="K3" s="783"/>
      <c r="L3" s="783"/>
      <c r="M3" s="783"/>
      <c r="N3" s="783"/>
    </row>
    <row r="4" spans="1:14" ht="16.5" x14ac:dyDescent="0.3">
      <c r="A4" s="97"/>
      <c r="B4" s="29"/>
      <c r="C4" s="29"/>
      <c r="D4" s="54"/>
      <c r="E4" s="218"/>
      <c r="F4" s="218"/>
      <c r="G4" s="218"/>
      <c r="H4" s="219"/>
      <c r="I4" s="784" t="s">
        <v>23</v>
      </c>
      <c r="J4" s="785"/>
      <c r="K4" s="786" t="s">
        <v>781</v>
      </c>
      <c r="L4" s="786"/>
      <c r="M4" s="786"/>
      <c r="N4" s="857"/>
    </row>
    <row r="5" spans="1:14" ht="16.5" x14ac:dyDescent="0.3">
      <c r="A5" s="97"/>
      <c r="B5" s="29"/>
      <c r="C5" s="29"/>
      <c r="D5" s="29"/>
      <c r="E5" s="218"/>
      <c r="F5" s="218"/>
      <c r="G5" s="218"/>
      <c r="H5" s="219"/>
      <c r="I5" s="790" t="s">
        <v>24</v>
      </c>
      <c r="J5" s="791"/>
      <c r="K5" s="792">
        <v>0.2135</v>
      </c>
      <c r="L5" s="792"/>
      <c r="M5" s="792"/>
      <c r="N5" s="836"/>
    </row>
    <row r="6" spans="1:14" ht="16.5" x14ac:dyDescent="0.3">
      <c r="A6" s="97"/>
      <c r="B6" s="29"/>
      <c r="C6" s="29"/>
      <c r="D6" s="29"/>
      <c r="E6" s="218"/>
      <c r="F6" s="218"/>
      <c r="G6" s="218"/>
      <c r="H6" s="219"/>
      <c r="I6" s="790" t="s">
        <v>786</v>
      </c>
      <c r="J6" s="791"/>
      <c r="K6" s="792">
        <v>0.1401</v>
      </c>
      <c r="L6" s="792"/>
      <c r="M6" s="792"/>
      <c r="N6" s="836"/>
    </row>
    <row r="7" spans="1:14" ht="34.15" customHeight="1" thickBot="1" x14ac:dyDescent="0.35">
      <c r="A7" s="100"/>
      <c r="B7" s="29"/>
      <c r="C7" s="29"/>
      <c r="D7" s="29"/>
      <c r="E7" s="218"/>
      <c r="F7" s="218"/>
      <c r="G7" s="218"/>
      <c r="H7" s="219"/>
      <c r="I7" s="793" t="s">
        <v>25</v>
      </c>
      <c r="J7" s="794"/>
      <c r="K7" s="842" t="s">
        <v>467</v>
      </c>
      <c r="L7" s="842"/>
      <c r="M7" s="842"/>
      <c r="N7" s="843"/>
    </row>
    <row r="8" spans="1:14" ht="15.75" thickBot="1" x14ac:dyDescent="0.3">
      <c r="A8" s="242" t="s">
        <v>2</v>
      </c>
      <c r="B8" s="844" t="s">
        <v>699</v>
      </c>
      <c r="C8" s="845"/>
      <c r="D8" s="845"/>
      <c r="E8" s="845"/>
      <c r="F8" s="845"/>
      <c r="G8" s="845"/>
      <c r="H8" s="845"/>
      <c r="I8" s="846"/>
      <c r="J8" s="846"/>
      <c r="K8" s="845"/>
      <c r="L8" s="845"/>
      <c r="M8" s="845"/>
      <c r="N8" s="847"/>
    </row>
    <row r="9" spans="1:14" ht="15.75" thickBot="1" x14ac:dyDescent="0.3">
      <c r="A9" s="685"/>
      <c r="B9" s="685"/>
      <c r="C9" s="685"/>
      <c r="D9" s="685"/>
      <c r="E9" s="685"/>
      <c r="F9" s="685"/>
      <c r="G9" s="685"/>
      <c r="H9" s="685"/>
      <c r="I9" s="685"/>
      <c r="J9" s="685"/>
      <c r="K9" s="685"/>
      <c r="L9" s="685"/>
      <c r="M9" s="685"/>
      <c r="N9" s="685"/>
    </row>
    <row r="10" spans="1:14" ht="15.75" thickBot="1" x14ac:dyDescent="0.3">
      <c r="A10" s="837" t="s">
        <v>179</v>
      </c>
      <c r="B10" s="837" t="s">
        <v>283</v>
      </c>
      <c r="C10" s="839" t="s">
        <v>206</v>
      </c>
      <c r="D10" s="848" t="s">
        <v>284</v>
      </c>
      <c r="E10" s="849"/>
      <c r="F10" s="849"/>
      <c r="G10" s="849"/>
      <c r="H10" s="849"/>
      <c r="I10" s="849"/>
      <c r="J10" s="849"/>
      <c r="K10" s="849"/>
      <c r="L10" s="849"/>
      <c r="M10" s="850"/>
      <c r="N10" s="840" t="s">
        <v>206</v>
      </c>
    </row>
    <row r="11" spans="1:14" ht="15.75" thickBot="1" x14ac:dyDescent="0.3">
      <c r="A11" s="838"/>
      <c r="B11" s="838"/>
      <c r="C11" s="838"/>
      <c r="D11" s="667">
        <v>1</v>
      </c>
      <c r="E11" s="668">
        <f t="shared" ref="E11:M11" si="0">D11+1</f>
        <v>2</v>
      </c>
      <c r="F11" s="668">
        <f t="shared" si="0"/>
        <v>3</v>
      </c>
      <c r="G11" s="668">
        <f t="shared" si="0"/>
        <v>4</v>
      </c>
      <c r="H11" s="668">
        <f t="shared" si="0"/>
        <v>5</v>
      </c>
      <c r="I11" s="668">
        <f t="shared" si="0"/>
        <v>6</v>
      </c>
      <c r="J11" s="668">
        <f t="shared" si="0"/>
        <v>7</v>
      </c>
      <c r="K11" s="668">
        <f t="shared" si="0"/>
        <v>8</v>
      </c>
      <c r="L11" s="668">
        <f t="shared" si="0"/>
        <v>9</v>
      </c>
      <c r="M11" s="668">
        <f t="shared" si="0"/>
        <v>10</v>
      </c>
      <c r="N11" s="841"/>
    </row>
    <row r="12" spans="1:14" ht="15.75" thickBot="1" x14ac:dyDescent="0.3">
      <c r="A12" s="851">
        <v>1</v>
      </c>
      <c r="B12" s="852" t="str">
        <f>'ORÇAMENTO GLOBAL'!B10:I10</f>
        <v>ADMINISTRAÇÃO LOCAL</v>
      </c>
      <c r="C12" s="669">
        <f>'ORÇAMENTO GLOBAL'!J10</f>
        <v>171579.2</v>
      </c>
      <c r="D12" s="670">
        <f t="shared" ref="D12:M12" si="1">$C$12*D14</f>
        <v>21447.4</v>
      </c>
      <c r="E12" s="670">
        <f t="shared" si="1"/>
        <v>21447.4</v>
      </c>
      <c r="F12" s="670">
        <f t="shared" si="1"/>
        <v>21447.4</v>
      </c>
      <c r="G12" s="670">
        <f t="shared" si="1"/>
        <v>21447.4</v>
      </c>
      <c r="H12" s="670">
        <f t="shared" si="1"/>
        <v>21447.4</v>
      </c>
      <c r="I12" s="670">
        <f t="shared" si="1"/>
        <v>21447.4</v>
      </c>
      <c r="J12" s="670">
        <f t="shared" si="1"/>
        <v>21447.4</v>
      </c>
      <c r="K12" s="670">
        <f t="shared" si="1"/>
        <v>21447.4</v>
      </c>
      <c r="L12" s="670">
        <f t="shared" si="1"/>
        <v>0</v>
      </c>
      <c r="M12" s="670">
        <f t="shared" si="1"/>
        <v>0</v>
      </c>
      <c r="N12" s="671">
        <f>SUM(D12:M12)</f>
        <v>171579.2</v>
      </c>
    </row>
    <row r="13" spans="1:14" ht="15.75" thickBot="1" x14ac:dyDescent="0.3">
      <c r="A13" s="851"/>
      <c r="B13" s="853"/>
      <c r="C13" s="672"/>
      <c r="D13" s="673">
        <f t="shared" ref="D13:I13" si="2">IF(D12&gt;0,1,0)</f>
        <v>1</v>
      </c>
      <c r="E13" s="673">
        <f t="shared" si="2"/>
        <v>1</v>
      </c>
      <c r="F13" s="673">
        <f t="shared" si="2"/>
        <v>1</v>
      </c>
      <c r="G13" s="673">
        <f t="shared" si="2"/>
        <v>1</v>
      </c>
      <c r="H13" s="673">
        <f t="shared" si="2"/>
        <v>1</v>
      </c>
      <c r="I13" s="673">
        <f t="shared" si="2"/>
        <v>1</v>
      </c>
      <c r="J13" s="673">
        <f t="shared" ref="J13:L13" si="3">IF(J12&gt;0,1,0)</f>
        <v>1</v>
      </c>
      <c r="K13" s="673">
        <f t="shared" si="3"/>
        <v>1</v>
      </c>
      <c r="L13" s="673">
        <f t="shared" si="3"/>
        <v>0</v>
      </c>
      <c r="M13" s="673">
        <f t="shared" ref="M13" si="4">IF(M12&gt;0,1,0)</f>
        <v>0</v>
      </c>
      <c r="N13" s="673">
        <f>IF(N14&gt;0,1,0)</f>
        <v>1</v>
      </c>
    </row>
    <row r="14" spans="1:14" ht="15.75" thickBot="1" x14ac:dyDescent="0.3">
      <c r="A14" s="851"/>
      <c r="B14" s="854"/>
      <c r="C14" s="674">
        <f>SUM(D14:M14)</f>
        <v>1</v>
      </c>
      <c r="D14" s="675">
        <v>0.125</v>
      </c>
      <c r="E14" s="675">
        <v>0.125</v>
      </c>
      <c r="F14" s="675">
        <v>0.125</v>
      </c>
      <c r="G14" s="675">
        <v>0.125</v>
      </c>
      <c r="H14" s="675">
        <v>0.125</v>
      </c>
      <c r="I14" s="675">
        <v>0.125</v>
      </c>
      <c r="J14" s="675">
        <v>0.125</v>
      </c>
      <c r="K14" s="675">
        <v>0.125</v>
      </c>
      <c r="L14" s="675">
        <v>0</v>
      </c>
      <c r="M14" s="675">
        <v>0</v>
      </c>
      <c r="N14" s="674">
        <f>C14</f>
        <v>1</v>
      </c>
    </row>
    <row r="15" spans="1:14" ht="15.75" thickBot="1" x14ac:dyDescent="0.3">
      <c r="A15" s="851">
        <v>2</v>
      </c>
      <c r="B15" s="852" t="str">
        <f>'ORÇAMENTO GLOBAL'!B13:I13</f>
        <v>SERVIÇOS PRELIMINARES</v>
      </c>
      <c r="C15" s="669">
        <f>'ORÇAMENTO GLOBAL'!J13</f>
        <v>31915.16</v>
      </c>
      <c r="D15" s="670">
        <f>$C$15*D17</f>
        <v>31915.16</v>
      </c>
      <c r="E15" s="676"/>
      <c r="F15" s="676"/>
      <c r="G15" s="676"/>
      <c r="H15" s="676"/>
      <c r="I15" s="676"/>
      <c r="J15" s="676"/>
      <c r="K15" s="676"/>
      <c r="L15" s="676"/>
      <c r="M15" s="676"/>
      <c r="N15" s="671">
        <f>SUM(D15:M15)</f>
        <v>31915.16</v>
      </c>
    </row>
    <row r="16" spans="1:14" ht="15.75" thickBot="1" x14ac:dyDescent="0.3">
      <c r="A16" s="851"/>
      <c r="B16" s="853"/>
      <c r="C16" s="672"/>
      <c r="D16" s="673">
        <f>IF(D15&gt;0,1,0)</f>
        <v>1</v>
      </c>
      <c r="E16" s="676"/>
      <c r="F16" s="676"/>
      <c r="G16" s="676"/>
      <c r="H16" s="676"/>
      <c r="I16" s="676"/>
      <c r="J16" s="676"/>
      <c r="K16" s="676"/>
      <c r="L16" s="676"/>
      <c r="M16" s="676"/>
      <c r="N16" s="673">
        <f>IF(N17&gt;0,1,0)</f>
        <v>1</v>
      </c>
    </row>
    <row r="17" spans="1:14" ht="15.75" thickBot="1" x14ac:dyDescent="0.3">
      <c r="A17" s="851"/>
      <c r="B17" s="854"/>
      <c r="C17" s="674">
        <f>SUM(D17:J17)</f>
        <v>1</v>
      </c>
      <c r="D17" s="675">
        <v>1</v>
      </c>
      <c r="E17" s="676"/>
      <c r="F17" s="676"/>
      <c r="G17" s="676"/>
      <c r="H17" s="676"/>
      <c r="I17" s="676"/>
      <c r="J17" s="676"/>
      <c r="K17" s="676"/>
      <c r="L17" s="676"/>
      <c r="M17" s="676"/>
      <c r="N17" s="674">
        <f>C17</f>
        <v>1</v>
      </c>
    </row>
    <row r="18" spans="1:14" ht="15.75" thickBot="1" x14ac:dyDescent="0.3">
      <c r="A18" s="851">
        <v>3</v>
      </c>
      <c r="B18" s="852" t="str">
        <f>'ORÇAMENTO GLOBAL'!B21:I21</f>
        <v>SINALIZAÇÃO</v>
      </c>
      <c r="C18" s="669">
        <f>'ORÇAMENTO GLOBAL'!J21</f>
        <v>38062.9</v>
      </c>
      <c r="D18" s="670">
        <f>$C$18*D20</f>
        <v>38062.9</v>
      </c>
      <c r="E18" s="677">
        <f>$C$20*E20</f>
        <v>0</v>
      </c>
      <c r="F18" s="677">
        <f>$C$20*F20</f>
        <v>0</v>
      </c>
      <c r="G18" s="677"/>
      <c r="H18" s="677"/>
      <c r="I18" s="677">
        <f>$C$20*I20</f>
        <v>0</v>
      </c>
      <c r="J18" s="677">
        <f>$C$20*J20</f>
        <v>0</v>
      </c>
      <c r="K18" s="677">
        <f>$C$20*K20</f>
        <v>0</v>
      </c>
      <c r="L18" s="677">
        <f>$C$20*L20</f>
        <v>0</v>
      </c>
      <c r="M18" s="677">
        <f>$C$20*M20</f>
        <v>0</v>
      </c>
      <c r="N18" s="671">
        <f>SUM(D18:M18)</f>
        <v>38062.9</v>
      </c>
    </row>
    <row r="19" spans="1:14" ht="15.75" thickBot="1" x14ac:dyDescent="0.3">
      <c r="A19" s="851"/>
      <c r="B19" s="853"/>
      <c r="C19" s="672"/>
      <c r="D19" s="673">
        <f>IF(D18&gt;0,1,0)</f>
        <v>1</v>
      </c>
      <c r="E19" s="673">
        <f>IF(E18&gt;0,1,0)</f>
        <v>0</v>
      </c>
      <c r="F19" s="673">
        <f>IF(F18&gt;0,1,0)</f>
        <v>0</v>
      </c>
      <c r="G19" s="673"/>
      <c r="H19" s="673"/>
      <c r="I19" s="673">
        <f>IF(I18&gt;0,1,0)</f>
        <v>0</v>
      </c>
      <c r="J19" s="673">
        <f>IF(J18&gt;0,1,0)</f>
        <v>0</v>
      </c>
      <c r="K19" s="673">
        <f>IF(K18&gt;0,1,0)</f>
        <v>0</v>
      </c>
      <c r="L19" s="673">
        <f>IF(L18&gt;0,1,0)</f>
        <v>0</v>
      </c>
      <c r="M19" s="673">
        <f>IF(M18&gt;0,1,0)</f>
        <v>0</v>
      </c>
      <c r="N19" s="673">
        <f>IF(N20&gt;0,1,0)</f>
        <v>1</v>
      </c>
    </row>
    <row r="20" spans="1:14" ht="15.75" thickBot="1" x14ac:dyDescent="0.3">
      <c r="A20" s="851"/>
      <c r="B20" s="854"/>
      <c r="C20" s="674">
        <f>SUM(D20:J20)</f>
        <v>1</v>
      </c>
      <c r="D20" s="675">
        <v>1</v>
      </c>
      <c r="E20" s="675"/>
      <c r="F20" s="675"/>
      <c r="G20" s="675"/>
      <c r="H20" s="675"/>
      <c r="I20" s="675"/>
      <c r="J20" s="675"/>
      <c r="K20" s="675"/>
      <c r="L20" s="675"/>
      <c r="M20" s="675"/>
      <c r="N20" s="674">
        <f>C20</f>
        <v>1</v>
      </c>
    </row>
    <row r="21" spans="1:14" ht="15.75" thickBot="1" x14ac:dyDescent="0.3">
      <c r="A21" s="851">
        <v>4</v>
      </c>
      <c r="B21" s="852" t="str">
        <f>'ORÇAMENTO GLOBAL'!B28:I28</f>
        <v>SERVIÇOS TERRAPLENAGEM</v>
      </c>
      <c r="C21" s="669">
        <f>'ORÇAMENTO GLOBAL'!J28</f>
        <v>46914.05</v>
      </c>
      <c r="D21" s="670">
        <f t="shared" ref="D21:M21" si="5">$C$21*D23</f>
        <v>5864.26</v>
      </c>
      <c r="E21" s="670">
        <f t="shared" si="5"/>
        <v>5864.26</v>
      </c>
      <c r="F21" s="670">
        <f t="shared" si="5"/>
        <v>5864.26</v>
      </c>
      <c r="G21" s="670">
        <f t="shared" si="5"/>
        <v>5864.26</v>
      </c>
      <c r="H21" s="670">
        <f t="shared" si="5"/>
        <v>5864.26</v>
      </c>
      <c r="I21" s="670">
        <f t="shared" si="5"/>
        <v>5864.26</v>
      </c>
      <c r="J21" s="670">
        <f t="shared" si="5"/>
        <v>5864.26</v>
      </c>
      <c r="K21" s="760">
        <f t="shared" si="5"/>
        <v>5864.2560000000003</v>
      </c>
      <c r="L21" s="670">
        <f t="shared" si="5"/>
        <v>0</v>
      </c>
      <c r="M21" s="670">
        <f t="shared" si="5"/>
        <v>0</v>
      </c>
      <c r="N21" s="671">
        <f>SUM(D21:M21)</f>
        <v>46914.080000000002</v>
      </c>
    </row>
    <row r="22" spans="1:14" ht="15.75" thickBot="1" x14ac:dyDescent="0.3">
      <c r="A22" s="851"/>
      <c r="B22" s="853"/>
      <c r="C22" s="672"/>
      <c r="D22" s="673">
        <f t="shared" ref="D22:M22" si="6">IF(D21&gt;0,1,0)</f>
        <v>1</v>
      </c>
      <c r="E22" s="673">
        <f t="shared" si="6"/>
        <v>1</v>
      </c>
      <c r="F22" s="673">
        <f t="shared" si="6"/>
        <v>1</v>
      </c>
      <c r="G22" s="673">
        <f t="shared" si="6"/>
        <v>1</v>
      </c>
      <c r="H22" s="673">
        <f t="shared" si="6"/>
        <v>1</v>
      </c>
      <c r="I22" s="673">
        <f t="shared" si="6"/>
        <v>1</v>
      </c>
      <c r="J22" s="673">
        <f t="shared" si="6"/>
        <v>1</v>
      </c>
      <c r="K22" s="673">
        <f t="shared" si="6"/>
        <v>1</v>
      </c>
      <c r="L22" s="673">
        <f t="shared" si="6"/>
        <v>0</v>
      </c>
      <c r="M22" s="673">
        <f t="shared" si="6"/>
        <v>0</v>
      </c>
      <c r="N22" s="673">
        <f>IF(N23&gt;0,1,0)</f>
        <v>1</v>
      </c>
    </row>
    <row r="23" spans="1:14" ht="15.75" thickBot="1" x14ac:dyDescent="0.3">
      <c r="A23" s="851"/>
      <c r="B23" s="854"/>
      <c r="C23" s="674">
        <f>SUM(D23:M23)</f>
        <v>1</v>
      </c>
      <c r="D23" s="675">
        <v>0.125</v>
      </c>
      <c r="E23" s="675">
        <v>0.125</v>
      </c>
      <c r="F23" s="675">
        <v>0.125</v>
      </c>
      <c r="G23" s="675">
        <v>0.125</v>
      </c>
      <c r="H23" s="675">
        <v>0.125</v>
      </c>
      <c r="I23" s="675">
        <v>0.125</v>
      </c>
      <c r="J23" s="675">
        <v>0.125</v>
      </c>
      <c r="K23" s="675">
        <v>0.125</v>
      </c>
      <c r="L23" s="675">
        <v>0</v>
      </c>
      <c r="M23" s="675">
        <v>0</v>
      </c>
      <c r="N23" s="674">
        <f>C23</f>
        <v>1</v>
      </c>
    </row>
    <row r="24" spans="1:14" ht="15.75" thickBot="1" x14ac:dyDescent="0.3">
      <c r="A24" s="851">
        <v>5</v>
      </c>
      <c r="B24" s="852" t="str">
        <f>'ORÇAMENTO GLOBAL'!B33:I33</f>
        <v>SERVIÇO DE PAVIMENTAÇÃO</v>
      </c>
      <c r="C24" s="669">
        <f>'ORÇAMENTO GLOBAL'!J33</f>
        <v>2914598.99</v>
      </c>
      <c r="D24" s="670">
        <f>$C$24*D26</f>
        <v>364324.87</v>
      </c>
      <c r="E24" s="670">
        <f t="shared" ref="E24:M24" si="7">$C$24*E26</f>
        <v>364324.87</v>
      </c>
      <c r="F24" s="670">
        <f t="shared" si="7"/>
        <v>364324.87</v>
      </c>
      <c r="G24" s="670">
        <f t="shared" si="7"/>
        <v>364324.87</v>
      </c>
      <c r="H24" s="670">
        <f t="shared" si="7"/>
        <v>364324.87</v>
      </c>
      <c r="I24" s="670">
        <f t="shared" si="7"/>
        <v>364324.87</v>
      </c>
      <c r="J24" s="670">
        <f t="shared" si="7"/>
        <v>364324.87</v>
      </c>
      <c r="K24" s="670">
        <f t="shared" si="7"/>
        <v>364324.87</v>
      </c>
      <c r="L24" s="670">
        <f t="shared" si="7"/>
        <v>0</v>
      </c>
      <c r="M24" s="670">
        <f t="shared" si="7"/>
        <v>0</v>
      </c>
      <c r="N24" s="671">
        <f>SUM(D24:M24)</f>
        <v>2914598.96</v>
      </c>
    </row>
    <row r="25" spans="1:14" ht="15.75" thickBot="1" x14ac:dyDescent="0.3">
      <c r="A25" s="851"/>
      <c r="B25" s="853"/>
      <c r="C25" s="672"/>
      <c r="D25" s="673">
        <f t="shared" ref="D25" si="8">IF(D24&gt;0,1,0)</f>
        <v>1</v>
      </c>
      <c r="E25" s="673">
        <f t="shared" ref="E25:G25" si="9">IF(E24&gt;0,1,0)</f>
        <v>1</v>
      </c>
      <c r="F25" s="673">
        <f t="shared" si="9"/>
        <v>1</v>
      </c>
      <c r="G25" s="673">
        <f t="shared" si="9"/>
        <v>1</v>
      </c>
      <c r="H25" s="673">
        <f t="shared" ref="H25:M25" si="10">IF(H24&gt;0,1,0)</f>
        <v>1</v>
      </c>
      <c r="I25" s="673">
        <f t="shared" si="10"/>
        <v>1</v>
      </c>
      <c r="J25" s="673">
        <f t="shared" si="10"/>
        <v>1</v>
      </c>
      <c r="K25" s="673">
        <f t="shared" si="10"/>
        <v>1</v>
      </c>
      <c r="L25" s="673">
        <f t="shared" si="10"/>
        <v>0</v>
      </c>
      <c r="M25" s="673">
        <f t="shared" si="10"/>
        <v>0</v>
      </c>
      <c r="N25" s="673">
        <f>IF(N26&gt;0,1,0)</f>
        <v>1</v>
      </c>
    </row>
    <row r="26" spans="1:14" ht="15.75" thickBot="1" x14ac:dyDescent="0.3">
      <c r="A26" s="851"/>
      <c r="B26" s="854"/>
      <c r="C26" s="674">
        <f>SUM(D26:M26)</f>
        <v>1</v>
      </c>
      <c r="D26" s="675">
        <v>0.125</v>
      </c>
      <c r="E26" s="675">
        <v>0.125</v>
      </c>
      <c r="F26" s="675">
        <v>0.125</v>
      </c>
      <c r="G26" s="675">
        <v>0.125</v>
      </c>
      <c r="H26" s="675">
        <v>0.125</v>
      </c>
      <c r="I26" s="675">
        <v>0.125</v>
      </c>
      <c r="J26" s="675">
        <v>0.125</v>
      </c>
      <c r="K26" s="675">
        <v>0.125</v>
      </c>
      <c r="L26" s="675">
        <v>0</v>
      </c>
      <c r="M26" s="675">
        <v>0</v>
      </c>
      <c r="N26" s="674">
        <f>C26</f>
        <v>1</v>
      </c>
    </row>
    <row r="27" spans="1:14" ht="15.75" hidden="1" thickBot="1" x14ac:dyDescent="0.3">
      <c r="A27" s="851">
        <v>5</v>
      </c>
      <c r="B27" s="852" t="str">
        <f>'ORÇAMENTO GLOBAL'!B39</f>
        <v>SERVIÇO DE DRENAGEM</v>
      </c>
      <c r="C27" s="669">
        <f>'ORÇAMENTO GLOBAL'!J39</f>
        <v>602498.94999999995</v>
      </c>
      <c r="D27" s="670">
        <f>$C$27*D29</f>
        <v>150624.74</v>
      </c>
      <c r="E27" s="670">
        <f>$C$27*E29</f>
        <v>150624.74</v>
      </c>
      <c r="F27" s="670">
        <f>$C$27*F29</f>
        <v>150624.74</v>
      </c>
      <c r="G27" s="670">
        <f>$C$27*G29</f>
        <v>150624.74</v>
      </c>
      <c r="H27" s="670"/>
      <c r="I27" s="670"/>
      <c r="J27" s="670"/>
      <c r="K27" s="670"/>
      <c r="L27" s="670"/>
      <c r="M27" s="670"/>
      <c r="N27" s="671">
        <f>SUM(D27:M27)</f>
        <v>602498.96</v>
      </c>
    </row>
    <row r="28" spans="1:14" ht="15.75" hidden="1" thickBot="1" x14ac:dyDescent="0.3">
      <c r="A28" s="851"/>
      <c r="B28" s="853"/>
      <c r="C28" s="672"/>
      <c r="D28" s="673">
        <f t="shared" ref="D28:E28" si="11">IF(D27&gt;0,1,0)</f>
        <v>1</v>
      </c>
      <c r="E28" s="673">
        <f t="shared" si="11"/>
        <v>1</v>
      </c>
      <c r="F28" s="673">
        <f t="shared" ref="F28:G28" si="12">IF(F27&gt;0,1,0)</f>
        <v>1</v>
      </c>
      <c r="G28" s="673">
        <f t="shared" si="12"/>
        <v>1</v>
      </c>
      <c r="H28" s="673"/>
      <c r="I28" s="673"/>
      <c r="J28" s="673"/>
      <c r="K28" s="673"/>
      <c r="L28" s="673"/>
      <c r="M28" s="673"/>
      <c r="N28" s="673">
        <f>IF(N29&gt;0,1,0)</f>
        <v>1</v>
      </c>
    </row>
    <row r="29" spans="1:14" ht="15.75" hidden="1" thickBot="1" x14ac:dyDescent="0.3">
      <c r="A29" s="851"/>
      <c r="B29" s="854"/>
      <c r="C29" s="674">
        <f>SUM(D29:J29)</f>
        <v>1</v>
      </c>
      <c r="D29" s="675">
        <v>0.25</v>
      </c>
      <c r="E29" s="675">
        <v>0.25</v>
      </c>
      <c r="F29" s="675">
        <v>0.25</v>
      </c>
      <c r="G29" s="675">
        <v>0.25</v>
      </c>
      <c r="H29" s="675"/>
      <c r="I29" s="675"/>
      <c r="J29" s="675"/>
      <c r="K29" s="675"/>
      <c r="L29" s="675"/>
      <c r="M29" s="675"/>
      <c r="N29" s="674">
        <f>C29</f>
        <v>1</v>
      </c>
    </row>
    <row r="30" spans="1:14" ht="15.75" thickBot="1" x14ac:dyDescent="0.3">
      <c r="A30" s="851">
        <v>6</v>
      </c>
      <c r="B30" s="852" t="str">
        <f>'ORÇAMENTO GLOBAL'!B39:I39</f>
        <v>SERVIÇO DE DRENAGEM</v>
      </c>
      <c r="C30" s="669">
        <f>'ORÇAMENTO GLOBAL'!J39</f>
        <v>602498.94999999995</v>
      </c>
      <c r="D30" s="670">
        <f t="shared" ref="D30:M30" si="13">$C$30*D32</f>
        <v>75312.37</v>
      </c>
      <c r="E30" s="670">
        <f t="shared" si="13"/>
        <v>75312.37</v>
      </c>
      <c r="F30" s="670">
        <f t="shared" si="13"/>
        <v>75312.37</v>
      </c>
      <c r="G30" s="670">
        <f t="shared" si="13"/>
        <v>75312.37</v>
      </c>
      <c r="H30" s="670">
        <f t="shared" si="13"/>
        <v>75312.37</v>
      </c>
      <c r="I30" s="670">
        <f t="shared" si="13"/>
        <v>75312.37</v>
      </c>
      <c r="J30" s="670">
        <f t="shared" si="13"/>
        <v>75312.37</v>
      </c>
      <c r="K30" s="670">
        <f>$C$30*K32</f>
        <v>75312.37</v>
      </c>
      <c r="L30" s="670">
        <f t="shared" si="13"/>
        <v>150624.74</v>
      </c>
      <c r="M30" s="670">
        <f t="shared" si="13"/>
        <v>150624.74</v>
      </c>
      <c r="N30" s="671">
        <f>K30+J30+I30+H30+G30+F30+E30+D30</f>
        <v>602498.96</v>
      </c>
    </row>
    <row r="31" spans="1:14" ht="15.75" thickBot="1" x14ac:dyDescent="0.3">
      <c r="A31" s="851"/>
      <c r="B31" s="853"/>
      <c r="C31" s="672"/>
      <c r="D31" s="673">
        <f t="shared" ref="D31:K31" si="14">IF(D30&gt;0,1,0)</f>
        <v>1</v>
      </c>
      <c r="E31" s="673">
        <f t="shared" si="14"/>
        <v>1</v>
      </c>
      <c r="F31" s="673">
        <f t="shared" si="14"/>
        <v>1</v>
      </c>
      <c r="G31" s="673">
        <f t="shared" si="14"/>
        <v>1</v>
      </c>
      <c r="H31" s="673">
        <f t="shared" si="14"/>
        <v>1</v>
      </c>
      <c r="I31" s="673">
        <f t="shared" si="14"/>
        <v>1</v>
      </c>
      <c r="J31" s="673">
        <f t="shared" si="14"/>
        <v>1</v>
      </c>
      <c r="K31" s="673">
        <f t="shared" si="14"/>
        <v>1</v>
      </c>
      <c r="L31" s="673">
        <f t="shared" ref="L31" si="15">IF(L30&gt;0,1,0)</f>
        <v>1</v>
      </c>
      <c r="M31" s="673">
        <f t="shared" ref="M31" si="16">IF(M30&gt;0,1,0)</f>
        <v>1</v>
      </c>
      <c r="N31" s="673">
        <f>IF(N32&gt;0,1,0)</f>
        <v>1</v>
      </c>
    </row>
    <row r="32" spans="1:14" ht="15.75" thickBot="1" x14ac:dyDescent="0.3">
      <c r="A32" s="851"/>
      <c r="B32" s="854"/>
      <c r="C32" s="674">
        <f>D32+E32+F32+G32+H32+I32+J32+K32</f>
        <v>1</v>
      </c>
      <c r="D32" s="675">
        <v>0.125</v>
      </c>
      <c r="E32" s="675">
        <v>0.125</v>
      </c>
      <c r="F32" s="675">
        <v>0.125</v>
      </c>
      <c r="G32" s="675">
        <v>0.125</v>
      </c>
      <c r="H32" s="675">
        <v>0.125</v>
      </c>
      <c r="I32" s="675">
        <v>0.125</v>
      </c>
      <c r="J32" s="675">
        <v>0.125</v>
      </c>
      <c r="K32" s="675">
        <v>0.125</v>
      </c>
      <c r="L32" s="675">
        <v>0.25</v>
      </c>
      <c r="M32" s="675">
        <v>0.25</v>
      </c>
      <c r="N32" s="674">
        <f>C32</f>
        <v>1</v>
      </c>
    </row>
    <row r="33" spans="1:14" ht="15.75" thickBot="1" x14ac:dyDescent="0.3">
      <c r="A33" s="678"/>
      <c r="B33" s="678" t="s">
        <v>285</v>
      </c>
      <c r="C33" s="679">
        <f>C30+C24+C21+C18+C15+C12</f>
        <v>3805569.25</v>
      </c>
      <c r="D33" s="680"/>
      <c r="E33" s="680"/>
      <c r="F33" s="680"/>
      <c r="G33" s="680"/>
      <c r="H33" s="680"/>
      <c r="I33" s="680"/>
      <c r="J33" s="680"/>
      <c r="K33" s="680"/>
      <c r="L33" s="680"/>
      <c r="M33" s="680"/>
      <c r="N33" s="671"/>
    </row>
    <row r="34" spans="1:14" ht="15.75" thickBot="1" x14ac:dyDescent="0.3">
      <c r="A34" s="678"/>
      <c r="B34" s="678" t="s">
        <v>286</v>
      </c>
      <c r="C34" s="681"/>
      <c r="D34" s="682">
        <f t="shared" ref="D34:K34" si="17">D12+D15+D18+D21+D24+D30</f>
        <v>536926.96</v>
      </c>
      <c r="E34" s="682">
        <f t="shared" si="17"/>
        <v>466948.9</v>
      </c>
      <c r="F34" s="759">
        <f t="shared" si="17"/>
        <v>466948.9</v>
      </c>
      <c r="G34" s="682">
        <f t="shared" si="17"/>
        <v>466948.9</v>
      </c>
      <c r="H34" s="682">
        <f t="shared" si="17"/>
        <v>466948.9</v>
      </c>
      <c r="I34" s="682">
        <f t="shared" si="17"/>
        <v>466948.9</v>
      </c>
      <c r="J34" s="682">
        <f t="shared" si="17"/>
        <v>466948.9</v>
      </c>
      <c r="K34" s="682">
        <f t="shared" si="17"/>
        <v>466948.9</v>
      </c>
      <c r="L34" s="682">
        <f t="shared" ref="L34:M34" si="18">L12+L18+L21++L24+L27+L30</f>
        <v>150624.74</v>
      </c>
      <c r="M34" s="682">
        <f t="shared" si="18"/>
        <v>150624.74</v>
      </c>
      <c r="N34" s="682">
        <f>K35</f>
        <v>3805569.25</v>
      </c>
    </row>
    <row r="35" spans="1:14" ht="15.75" thickBot="1" x14ac:dyDescent="0.3">
      <c r="A35" s="678"/>
      <c r="B35" s="678" t="s">
        <v>287</v>
      </c>
      <c r="C35" s="681"/>
      <c r="D35" s="682">
        <f>D34</f>
        <v>536926.96</v>
      </c>
      <c r="E35" s="682">
        <f t="shared" ref="E35:L35" si="19">E34+D35</f>
        <v>1003875.86</v>
      </c>
      <c r="F35" s="682">
        <f t="shared" si="19"/>
        <v>1470824.76</v>
      </c>
      <c r="G35" s="682">
        <f t="shared" si="19"/>
        <v>1937773.66</v>
      </c>
      <c r="H35" s="682">
        <f t="shared" si="19"/>
        <v>2404722.56</v>
      </c>
      <c r="I35" s="682">
        <f t="shared" si="19"/>
        <v>2871671.46</v>
      </c>
      <c r="J35" s="682">
        <f t="shared" si="19"/>
        <v>3338620.36</v>
      </c>
      <c r="K35" s="682">
        <f>C33</f>
        <v>3805569.25</v>
      </c>
      <c r="L35" s="682">
        <f t="shared" si="19"/>
        <v>3956193.99</v>
      </c>
      <c r="M35" s="682">
        <f>M34+L35+0.89</f>
        <v>4106819.62</v>
      </c>
      <c r="N35" s="682"/>
    </row>
    <row r="36" spans="1:14" ht="15.75" thickBot="1" x14ac:dyDescent="0.3">
      <c r="A36" s="678"/>
      <c r="B36" s="678" t="s">
        <v>288</v>
      </c>
      <c r="C36" s="681"/>
      <c r="D36" s="683">
        <f t="shared" ref="D36:M36" si="20">D34/$C$33</f>
        <v>0.1411</v>
      </c>
      <c r="E36" s="683">
        <f t="shared" si="20"/>
        <v>0.1227</v>
      </c>
      <c r="F36" s="683">
        <f t="shared" si="20"/>
        <v>0.1227</v>
      </c>
      <c r="G36" s="683">
        <f t="shared" si="20"/>
        <v>0.1227</v>
      </c>
      <c r="H36" s="683">
        <f t="shared" si="20"/>
        <v>0.1227</v>
      </c>
      <c r="I36" s="683">
        <f t="shared" si="20"/>
        <v>0.1227</v>
      </c>
      <c r="J36" s="683">
        <f t="shared" si="20"/>
        <v>0.1227</v>
      </c>
      <c r="K36" s="683">
        <f t="shared" si="20"/>
        <v>0.1227</v>
      </c>
      <c r="L36" s="683">
        <f t="shared" si="20"/>
        <v>3.9600000000000003E-2</v>
      </c>
      <c r="M36" s="683">
        <f t="shared" si="20"/>
        <v>3.9600000000000003E-2</v>
      </c>
      <c r="N36" s="683">
        <f>K36+D36+E36+F36+G36+H36+I36+J36</f>
        <v>1</v>
      </c>
    </row>
    <row r="38" spans="1:14" x14ac:dyDescent="0.25">
      <c r="G38" s="684"/>
    </row>
  </sheetData>
  <mergeCells count="31">
    <mergeCell ref="I1:N1"/>
    <mergeCell ref="K2:N3"/>
    <mergeCell ref="I4:J4"/>
    <mergeCell ref="K4:N4"/>
    <mergeCell ref="I5:J5"/>
    <mergeCell ref="K5:N5"/>
    <mergeCell ref="I2:J3"/>
    <mergeCell ref="A12:A14"/>
    <mergeCell ref="B12:B14"/>
    <mergeCell ref="A27:A29"/>
    <mergeCell ref="B27:B29"/>
    <mergeCell ref="A30:A32"/>
    <mergeCell ref="B30:B32"/>
    <mergeCell ref="A18:A20"/>
    <mergeCell ref="B18:B20"/>
    <mergeCell ref="A21:A23"/>
    <mergeCell ref="B21:B23"/>
    <mergeCell ref="A24:A26"/>
    <mergeCell ref="B24:B26"/>
    <mergeCell ref="A15:A17"/>
    <mergeCell ref="B15:B17"/>
    <mergeCell ref="I6:J6"/>
    <mergeCell ref="K6:N6"/>
    <mergeCell ref="A10:A11"/>
    <mergeCell ref="B10:B11"/>
    <mergeCell ref="C10:C11"/>
    <mergeCell ref="N10:N11"/>
    <mergeCell ref="I7:J7"/>
    <mergeCell ref="K7:N7"/>
    <mergeCell ref="B8:N8"/>
    <mergeCell ref="D10:M10"/>
  </mergeCells>
  <conditionalFormatting sqref="N13 N19 N22 N25 N28 N31 D13:I13">
    <cfRule type="cellIs" dxfId="135" priority="145" operator="equal">
      <formula>0</formula>
    </cfRule>
    <cfRule type="cellIs" dxfId="134" priority="146" operator="notEqual">
      <formula>0</formula>
    </cfRule>
  </conditionalFormatting>
  <conditionalFormatting sqref="D21 D18:I18 D12:I12 F27:I27">
    <cfRule type="cellIs" dxfId="133" priority="144" operator="equal">
      <formula>0</formula>
    </cfRule>
  </conditionalFormatting>
  <conditionalFormatting sqref="D19:I19">
    <cfRule type="cellIs" dxfId="132" priority="142" operator="equal">
      <formula>0</formula>
    </cfRule>
    <cfRule type="cellIs" dxfId="131" priority="143" operator="notEqual">
      <formula>0</formula>
    </cfRule>
  </conditionalFormatting>
  <conditionalFormatting sqref="D22">
    <cfRule type="cellIs" dxfId="130" priority="140" operator="equal">
      <formula>0</formula>
    </cfRule>
    <cfRule type="cellIs" dxfId="129" priority="141" operator="notEqual">
      <formula>0</formula>
    </cfRule>
  </conditionalFormatting>
  <conditionalFormatting sqref="E25:G25">
    <cfRule type="cellIs" dxfId="128" priority="138" operator="equal">
      <formula>0</formula>
    </cfRule>
    <cfRule type="cellIs" dxfId="127" priority="139" operator="notEqual">
      <formula>0</formula>
    </cfRule>
  </conditionalFormatting>
  <conditionalFormatting sqref="F28:I28">
    <cfRule type="cellIs" dxfId="126" priority="136" operator="equal">
      <formula>0</formula>
    </cfRule>
    <cfRule type="cellIs" dxfId="125" priority="137" operator="notEqual">
      <formula>0</formula>
    </cfRule>
  </conditionalFormatting>
  <conditionalFormatting sqref="J13">
    <cfRule type="cellIs" dxfId="124" priority="132" operator="equal">
      <formula>0</formula>
    </cfRule>
    <cfRule type="cellIs" dxfId="123" priority="133" operator="notEqual">
      <formula>0</formula>
    </cfRule>
  </conditionalFormatting>
  <conditionalFormatting sqref="J18 J12 J27">
    <cfRule type="cellIs" dxfId="122" priority="131" operator="equal">
      <formula>0</formula>
    </cfRule>
  </conditionalFormatting>
  <conditionalFormatting sqref="J19">
    <cfRule type="cellIs" dxfId="121" priority="129" operator="equal">
      <formula>0</formula>
    </cfRule>
    <cfRule type="cellIs" dxfId="120" priority="130" operator="notEqual">
      <formula>0</formula>
    </cfRule>
  </conditionalFormatting>
  <conditionalFormatting sqref="E22">
    <cfRule type="cellIs" dxfId="119" priority="79" operator="equal">
      <formula>0</formula>
    </cfRule>
    <cfRule type="cellIs" dxfId="118" priority="80" operator="notEqual">
      <formula>0</formula>
    </cfRule>
  </conditionalFormatting>
  <conditionalFormatting sqref="J28">
    <cfRule type="cellIs" dxfId="117" priority="123" operator="equal">
      <formula>0</formula>
    </cfRule>
    <cfRule type="cellIs" dxfId="116" priority="124" operator="notEqual">
      <formula>0</formula>
    </cfRule>
  </conditionalFormatting>
  <conditionalFormatting sqref="K13">
    <cfRule type="cellIs" dxfId="115" priority="119" operator="equal">
      <formula>0</formula>
    </cfRule>
    <cfRule type="cellIs" dxfId="114" priority="120" operator="notEqual">
      <formula>0</formula>
    </cfRule>
  </conditionalFormatting>
  <conditionalFormatting sqref="K18 K12 K27">
    <cfRule type="cellIs" dxfId="113" priority="118" operator="equal">
      <formula>0</formula>
    </cfRule>
  </conditionalFormatting>
  <conditionalFormatting sqref="K19">
    <cfRule type="cellIs" dxfId="112" priority="116" operator="equal">
      <formula>0</formula>
    </cfRule>
    <cfRule type="cellIs" dxfId="111" priority="117" operator="notEqual">
      <formula>0</formula>
    </cfRule>
  </conditionalFormatting>
  <conditionalFormatting sqref="K28">
    <cfRule type="cellIs" dxfId="110" priority="110" operator="equal">
      <formula>0</formula>
    </cfRule>
    <cfRule type="cellIs" dxfId="109" priority="111" operator="notEqual">
      <formula>0</formula>
    </cfRule>
  </conditionalFormatting>
  <conditionalFormatting sqref="L13">
    <cfRule type="cellIs" dxfId="108" priority="106" operator="equal">
      <formula>0</formula>
    </cfRule>
    <cfRule type="cellIs" dxfId="107" priority="107" operator="notEqual">
      <formula>0</formula>
    </cfRule>
  </conditionalFormatting>
  <conditionalFormatting sqref="L18 L12 L30 L27">
    <cfRule type="cellIs" dxfId="106" priority="105" operator="equal">
      <formula>0</formula>
    </cfRule>
  </conditionalFormatting>
  <conditionalFormatting sqref="L19">
    <cfRule type="cellIs" dxfId="105" priority="103" operator="equal">
      <formula>0</formula>
    </cfRule>
    <cfRule type="cellIs" dxfId="104" priority="104" operator="notEqual">
      <formula>0</formula>
    </cfRule>
  </conditionalFormatting>
  <conditionalFormatting sqref="L28">
    <cfRule type="cellIs" dxfId="103" priority="97" operator="equal">
      <formula>0</formula>
    </cfRule>
    <cfRule type="cellIs" dxfId="102" priority="98" operator="notEqual">
      <formula>0</formula>
    </cfRule>
  </conditionalFormatting>
  <conditionalFormatting sqref="L31">
    <cfRule type="cellIs" dxfId="101" priority="95" operator="equal">
      <formula>0</formula>
    </cfRule>
    <cfRule type="cellIs" dxfId="100" priority="96" operator="notEqual">
      <formula>0</formula>
    </cfRule>
  </conditionalFormatting>
  <conditionalFormatting sqref="M13">
    <cfRule type="cellIs" dxfId="99" priority="93" operator="equal">
      <formula>0</formula>
    </cfRule>
    <cfRule type="cellIs" dxfId="98" priority="94" operator="notEqual">
      <formula>0</formula>
    </cfRule>
  </conditionalFormatting>
  <conditionalFormatting sqref="M18 M12 M30 M27">
    <cfRule type="cellIs" dxfId="97" priority="92" operator="equal">
      <formula>0</formula>
    </cfRule>
  </conditionalFormatting>
  <conditionalFormatting sqref="M19">
    <cfRule type="cellIs" dxfId="96" priority="90" operator="equal">
      <formula>0</formula>
    </cfRule>
    <cfRule type="cellIs" dxfId="95" priority="91" operator="notEqual">
      <formula>0</formula>
    </cfRule>
  </conditionalFormatting>
  <conditionalFormatting sqref="H25">
    <cfRule type="cellIs" dxfId="94" priority="49" operator="equal">
      <formula>0</formula>
    </cfRule>
    <cfRule type="cellIs" dxfId="93" priority="50" operator="notEqual">
      <formula>0</formula>
    </cfRule>
  </conditionalFormatting>
  <conditionalFormatting sqref="M28">
    <cfRule type="cellIs" dxfId="92" priority="84" operator="equal">
      <formula>0</formula>
    </cfRule>
    <cfRule type="cellIs" dxfId="91" priority="85" operator="notEqual">
      <formula>0</formula>
    </cfRule>
  </conditionalFormatting>
  <conditionalFormatting sqref="M31">
    <cfRule type="cellIs" dxfId="90" priority="82" operator="equal">
      <formula>0</formula>
    </cfRule>
    <cfRule type="cellIs" dxfId="89" priority="83" operator="notEqual">
      <formula>0</formula>
    </cfRule>
  </conditionalFormatting>
  <conditionalFormatting sqref="F22">
    <cfRule type="cellIs" dxfId="88" priority="76" operator="equal">
      <formula>0</formula>
    </cfRule>
    <cfRule type="cellIs" dxfId="87" priority="77" operator="notEqual">
      <formula>0</formula>
    </cfRule>
  </conditionalFormatting>
  <conditionalFormatting sqref="G22">
    <cfRule type="cellIs" dxfId="86" priority="73" operator="equal">
      <formula>0</formula>
    </cfRule>
    <cfRule type="cellIs" dxfId="85" priority="74" operator="notEqual">
      <formula>0</formula>
    </cfRule>
  </conditionalFormatting>
  <conditionalFormatting sqref="H22">
    <cfRule type="cellIs" dxfId="84" priority="70" operator="equal">
      <formula>0</formula>
    </cfRule>
    <cfRule type="cellIs" dxfId="83" priority="71" operator="notEqual">
      <formula>0</formula>
    </cfRule>
  </conditionalFormatting>
  <conditionalFormatting sqref="I22">
    <cfRule type="cellIs" dxfId="82" priority="67" operator="equal">
      <formula>0</formula>
    </cfRule>
    <cfRule type="cellIs" dxfId="81" priority="68" operator="notEqual">
      <formula>0</formula>
    </cfRule>
  </conditionalFormatting>
  <conditionalFormatting sqref="J22">
    <cfRule type="cellIs" dxfId="80" priority="64" operator="equal">
      <formula>0</formula>
    </cfRule>
    <cfRule type="cellIs" dxfId="79" priority="65" operator="notEqual">
      <formula>0</formula>
    </cfRule>
  </conditionalFormatting>
  <conditionalFormatting sqref="K22">
    <cfRule type="cellIs" dxfId="78" priority="61" operator="equal">
      <formula>0</formula>
    </cfRule>
    <cfRule type="cellIs" dxfId="77" priority="62" operator="notEqual">
      <formula>0</formula>
    </cfRule>
  </conditionalFormatting>
  <conditionalFormatting sqref="L22">
    <cfRule type="cellIs" dxfId="76" priority="58" operator="equal">
      <formula>0</formula>
    </cfRule>
    <cfRule type="cellIs" dxfId="75" priority="59" operator="notEqual">
      <formula>0</formula>
    </cfRule>
  </conditionalFormatting>
  <conditionalFormatting sqref="M22">
    <cfRule type="cellIs" dxfId="74" priority="55" operator="equal">
      <formula>0</formula>
    </cfRule>
    <cfRule type="cellIs" dxfId="73" priority="56" operator="notEqual">
      <formula>0</formula>
    </cfRule>
  </conditionalFormatting>
  <conditionalFormatting sqref="D24:M24">
    <cfRule type="cellIs" dxfId="72" priority="54" operator="equal">
      <formula>0</formula>
    </cfRule>
  </conditionalFormatting>
  <conditionalFormatting sqref="D25">
    <cfRule type="cellIs" dxfId="71" priority="52" operator="equal">
      <formula>0</formula>
    </cfRule>
    <cfRule type="cellIs" dxfId="70" priority="53" operator="notEqual">
      <formula>0</formula>
    </cfRule>
  </conditionalFormatting>
  <conditionalFormatting sqref="I25">
    <cfRule type="cellIs" dxfId="69" priority="46" operator="equal">
      <formula>0</formula>
    </cfRule>
    <cfRule type="cellIs" dxfId="68" priority="47" operator="notEqual">
      <formula>0</formula>
    </cfRule>
  </conditionalFormatting>
  <conditionalFormatting sqref="J25">
    <cfRule type="cellIs" dxfId="67" priority="43" operator="equal">
      <formula>0</formula>
    </cfRule>
    <cfRule type="cellIs" dxfId="66" priority="44" operator="notEqual">
      <formula>0</formula>
    </cfRule>
  </conditionalFormatting>
  <conditionalFormatting sqref="K25">
    <cfRule type="cellIs" dxfId="65" priority="40" operator="equal">
      <formula>0</formula>
    </cfRule>
    <cfRule type="cellIs" dxfId="64" priority="41" operator="notEqual">
      <formula>0</formula>
    </cfRule>
  </conditionalFormatting>
  <conditionalFormatting sqref="L25">
    <cfRule type="cellIs" dxfId="63" priority="37" operator="equal">
      <formula>0</formula>
    </cfRule>
    <cfRule type="cellIs" dxfId="62" priority="38" operator="notEqual">
      <formula>0</formula>
    </cfRule>
  </conditionalFormatting>
  <conditionalFormatting sqref="M25">
    <cfRule type="cellIs" dxfId="61" priority="34" operator="equal">
      <formula>0</formula>
    </cfRule>
    <cfRule type="cellIs" dxfId="60" priority="35" operator="notEqual">
      <formula>0</formula>
    </cfRule>
  </conditionalFormatting>
  <conditionalFormatting sqref="D27">
    <cfRule type="cellIs" dxfId="59" priority="33" operator="equal">
      <formula>0</formula>
    </cfRule>
  </conditionalFormatting>
  <conditionalFormatting sqref="D28">
    <cfRule type="cellIs" dxfId="58" priority="31" operator="equal">
      <formula>0</formula>
    </cfRule>
    <cfRule type="cellIs" dxfId="57" priority="32" operator="notEqual">
      <formula>0</formula>
    </cfRule>
  </conditionalFormatting>
  <conditionalFormatting sqref="E27">
    <cfRule type="cellIs" dxfId="56" priority="30" operator="equal">
      <formula>0</formula>
    </cfRule>
  </conditionalFormatting>
  <conditionalFormatting sqref="E28">
    <cfRule type="cellIs" dxfId="55" priority="28" operator="equal">
      <formula>0</formula>
    </cfRule>
    <cfRule type="cellIs" dxfId="54" priority="29" operator="notEqual">
      <formula>0</formula>
    </cfRule>
  </conditionalFormatting>
  <conditionalFormatting sqref="E21">
    <cfRule type="cellIs" dxfId="53" priority="27" operator="equal">
      <formula>0</formula>
    </cfRule>
  </conditionalFormatting>
  <conditionalFormatting sqref="F21">
    <cfRule type="cellIs" dxfId="52" priority="26" operator="equal">
      <formula>0</formula>
    </cfRule>
  </conditionalFormatting>
  <conditionalFormatting sqref="G21">
    <cfRule type="cellIs" dxfId="51" priority="25" operator="equal">
      <formula>0</formula>
    </cfRule>
  </conditionalFormatting>
  <conditionalFormatting sqref="H21">
    <cfRule type="cellIs" dxfId="50" priority="24" operator="equal">
      <formula>0</formula>
    </cfRule>
  </conditionalFormatting>
  <conditionalFormatting sqref="I21">
    <cfRule type="cellIs" dxfId="49" priority="23" operator="equal">
      <formula>0</formula>
    </cfRule>
  </conditionalFormatting>
  <conditionalFormatting sqref="J21">
    <cfRule type="cellIs" dxfId="48" priority="22" operator="equal">
      <formula>0</formula>
    </cfRule>
  </conditionalFormatting>
  <conditionalFormatting sqref="K21">
    <cfRule type="cellIs" dxfId="47" priority="21" operator="equal">
      <formula>0</formula>
    </cfRule>
  </conditionalFormatting>
  <conditionalFormatting sqref="L21">
    <cfRule type="cellIs" dxfId="46" priority="20" operator="equal">
      <formula>0</formula>
    </cfRule>
  </conditionalFormatting>
  <conditionalFormatting sqref="M21">
    <cfRule type="cellIs" dxfId="45" priority="19" operator="equal">
      <formula>0</formula>
    </cfRule>
  </conditionalFormatting>
  <conditionalFormatting sqref="D15">
    <cfRule type="cellIs" dxfId="44" priority="18" operator="equal">
      <formula>0</formula>
    </cfRule>
  </conditionalFormatting>
  <conditionalFormatting sqref="D16">
    <cfRule type="cellIs" dxfId="43" priority="16" operator="equal">
      <formula>0</formula>
    </cfRule>
    <cfRule type="cellIs" dxfId="42" priority="17" operator="notEqual">
      <formula>0</formula>
    </cfRule>
  </conditionalFormatting>
  <conditionalFormatting sqref="E31:G31">
    <cfRule type="cellIs" dxfId="41" priority="14" operator="equal">
      <formula>0</formula>
    </cfRule>
    <cfRule type="cellIs" dxfId="40" priority="15" operator="notEqual">
      <formula>0</formula>
    </cfRule>
  </conditionalFormatting>
  <conditionalFormatting sqref="H31">
    <cfRule type="cellIs" dxfId="39" priority="9" operator="equal">
      <formula>0</formula>
    </cfRule>
    <cfRule type="cellIs" dxfId="38" priority="10" operator="notEqual">
      <formula>0</formula>
    </cfRule>
  </conditionalFormatting>
  <conditionalFormatting sqref="D30:K30">
    <cfRule type="cellIs" dxfId="37" priority="13" operator="equal">
      <formula>0</formula>
    </cfRule>
  </conditionalFormatting>
  <conditionalFormatting sqref="D31">
    <cfRule type="cellIs" dxfId="36" priority="11" operator="equal">
      <formula>0</formula>
    </cfRule>
    <cfRule type="cellIs" dxfId="35" priority="12" operator="notEqual">
      <formula>0</formula>
    </cfRule>
  </conditionalFormatting>
  <conditionalFormatting sqref="I31">
    <cfRule type="cellIs" dxfId="34" priority="7" operator="equal">
      <formula>0</formula>
    </cfRule>
    <cfRule type="cellIs" dxfId="33" priority="8" operator="notEqual">
      <formula>0</formula>
    </cfRule>
  </conditionalFormatting>
  <conditionalFormatting sqref="J31">
    <cfRule type="cellIs" dxfId="32" priority="5" operator="equal">
      <formula>0</formula>
    </cfRule>
    <cfRule type="cellIs" dxfId="31" priority="6" operator="notEqual">
      <formula>0</formula>
    </cfRule>
  </conditionalFormatting>
  <conditionalFormatting sqref="K31">
    <cfRule type="cellIs" dxfId="30" priority="3" operator="equal">
      <formula>0</formula>
    </cfRule>
    <cfRule type="cellIs" dxfId="29" priority="4" operator="notEqual">
      <formula>0</formula>
    </cfRule>
  </conditionalFormatting>
  <conditionalFormatting sqref="N16">
    <cfRule type="cellIs" dxfId="28" priority="1" operator="equal">
      <formula>0</formula>
    </cfRule>
    <cfRule type="cellIs" dxfId="27" priority="2" operator="notEqual">
      <formula>0</formula>
    </cfRule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66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4BD0E0-2B95-48CB-861C-352A7E886078}">
  <sheetPr>
    <tabColor rgb="FF002060"/>
  </sheetPr>
  <dimension ref="A1:AC320"/>
  <sheetViews>
    <sheetView zoomScale="105" zoomScaleNormal="70" workbookViewId="0">
      <selection activeCell="H27" sqref="H27"/>
    </sheetView>
  </sheetViews>
  <sheetFormatPr defaultRowHeight="15" x14ac:dyDescent="0.25"/>
  <cols>
    <col min="2" max="2" width="10.28515625" customWidth="1"/>
    <col min="4" max="4" width="54.140625" customWidth="1"/>
    <col min="6" max="6" width="10.5703125" bestFit="1" customWidth="1"/>
    <col min="7" max="7" width="12.7109375" bestFit="1" customWidth="1"/>
    <col min="8" max="8" width="12.5703125" bestFit="1" customWidth="1"/>
    <col min="9" max="9" width="13.7109375" customWidth="1"/>
    <col min="10" max="10" width="21.140625" customWidth="1"/>
    <col min="11" max="11" width="15.5703125" customWidth="1"/>
    <col min="12" max="12" width="15.5703125" style="484" customWidth="1"/>
    <col min="13" max="15" width="15.5703125" customWidth="1"/>
    <col min="16" max="16" width="15.140625" bestFit="1" customWidth="1"/>
    <col min="17" max="17" width="16.140625" bestFit="1" customWidth="1"/>
    <col min="18" max="18" width="15.140625" bestFit="1" customWidth="1"/>
    <col min="19" max="19" width="11.42578125" bestFit="1" customWidth="1"/>
  </cols>
  <sheetData>
    <row r="1" spans="1:29" ht="18" customHeight="1" x14ac:dyDescent="0.25">
      <c r="A1" s="29"/>
      <c r="B1" s="29"/>
      <c r="C1" s="29"/>
      <c r="D1" s="867"/>
      <c r="E1" s="867"/>
      <c r="F1" s="867"/>
      <c r="G1" s="867"/>
      <c r="H1" s="868" t="s">
        <v>297</v>
      </c>
      <c r="I1" s="868"/>
      <c r="J1" s="868"/>
      <c r="K1" s="868"/>
      <c r="L1" s="868"/>
      <c r="M1" s="868"/>
    </row>
    <row r="2" spans="1:29" ht="20.45" customHeight="1" x14ac:dyDescent="0.25">
      <c r="A2" s="29"/>
      <c r="B2" s="29"/>
      <c r="C2" s="29"/>
      <c r="D2" s="863" t="s">
        <v>0</v>
      </c>
      <c r="E2" s="863"/>
      <c r="F2" s="863"/>
      <c r="G2" s="864"/>
      <c r="H2" s="780" t="s">
        <v>22</v>
      </c>
      <c r="I2" s="780"/>
      <c r="J2" s="783" t="s">
        <v>832</v>
      </c>
      <c r="K2" s="783"/>
      <c r="L2" s="783"/>
      <c r="M2" s="783"/>
      <c r="N2" s="451"/>
      <c r="O2" s="451"/>
    </row>
    <row r="3" spans="1:29" ht="15.6" customHeight="1" x14ac:dyDescent="0.25">
      <c r="A3" s="29"/>
      <c r="B3" s="29"/>
      <c r="C3" s="29"/>
      <c r="D3" s="865" t="s">
        <v>1</v>
      </c>
      <c r="E3" s="865"/>
      <c r="F3" s="865"/>
      <c r="G3" s="866"/>
      <c r="H3" s="782"/>
      <c r="I3" s="782"/>
      <c r="J3" s="783"/>
      <c r="K3" s="783"/>
      <c r="L3" s="783"/>
      <c r="M3" s="783"/>
      <c r="N3" s="451"/>
      <c r="O3" s="451"/>
    </row>
    <row r="4" spans="1:29" ht="15.6" customHeight="1" x14ac:dyDescent="0.25">
      <c r="A4" s="29"/>
      <c r="B4" s="29"/>
      <c r="C4" s="29"/>
      <c r="D4" s="54"/>
      <c r="E4" s="755"/>
      <c r="F4" s="755"/>
      <c r="G4" s="756"/>
      <c r="H4" s="869" t="s">
        <v>23</v>
      </c>
      <c r="I4" s="785"/>
      <c r="J4" s="786" t="s">
        <v>781</v>
      </c>
      <c r="K4" s="786"/>
      <c r="L4" s="786"/>
      <c r="M4" s="786"/>
      <c r="N4" s="754"/>
      <c r="O4" s="452"/>
    </row>
    <row r="5" spans="1:29" ht="17.45" customHeight="1" x14ac:dyDescent="0.25">
      <c r="A5" s="29"/>
      <c r="B5" s="29"/>
      <c r="C5" s="29"/>
      <c r="D5" s="29"/>
      <c r="E5" s="755"/>
      <c r="F5" s="755"/>
      <c r="G5" s="756"/>
      <c r="H5" s="870" t="s">
        <v>24</v>
      </c>
      <c r="I5" s="791"/>
      <c r="J5" s="792">
        <v>0.2135</v>
      </c>
      <c r="K5" s="792"/>
      <c r="L5" s="792"/>
      <c r="M5" s="792"/>
      <c r="N5" s="754"/>
      <c r="O5" s="453"/>
    </row>
    <row r="6" spans="1:29" ht="17.45" customHeight="1" x14ac:dyDescent="0.25">
      <c r="A6" s="29"/>
      <c r="B6" s="29"/>
      <c r="C6" s="29"/>
      <c r="D6" s="29"/>
      <c r="E6" s="755"/>
      <c r="F6" s="755"/>
      <c r="G6" s="756"/>
      <c r="H6" s="870" t="s">
        <v>786</v>
      </c>
      <c r="I6" s="791"/>
      <c r="J6" s="792">
        <v>0.1401</v>
      </c>
      <c r="K6" s="792"/>
      <c r="L6" s="792"/>
      <c r="M6" s="792"/>
      <c r="N6" s="754"/>
      <c r="O6" s="453"/>
    </row>
    <row r="7" spans="1:29" ht="29.45" customHeight="1" x14ac:dyDescent="0.25">
      <c r="A7" s="29"/>
      <c r="B7" s="29"/>
      <c r="C7" s="29"/>
      <c r="D7" s="29"/>
      <c r="E7" s="755"/>
      <c r="F7" s="755"/>
      <c r="G7" s="756"/>
      <c r="H7" s="871" t="s">
        <v>25</v>
      </c>
      <c r="I7" s="872"/>
      <c r="J7" s="842" t="s">
        <v>467</v>
      </c>
      <c r="K7" s="842"/>
      <c r="L7" s="842"/>
      <c r="M7" s="873"/>
      <c r="N7" s="454"/>
      <c r="O7" s="454"/>
    </row>
    <row r="8" spans="1:29" ht="33.6" customHeight="1" x14ac:dyDescent="0.25">
      <c r="A8" s="753" t="s">
        <v>2</v>
      </c>
      <c r="B8" s="868" t="s">
        <v>699</v>
      </c>
      <c r="C8" s="868"/>
      <c r="D8" s="868"/>
      <c r="E8" s="868"/>
      <c r="F8" s="868"/>
      <c r="G8" s="868"/>
      <c r="H8" s="868"/>
      <c r="I8" s="868"/>
      <c r="J8" s="868"/>
      <c r="K8" s="868"/>
      <c r="L8" s="868"/>
      <c r="M8" s="868"/>
      <c r="N8" s="458"/>
      <c r="O8" s="458"/>
    </row>
    <row r="9" spans="1:29" ht="25.5" x14ac:dyDescent="0.25">
      <c r="A9" s="2" t="s">
        <v>3</v>
      </c>
      <c r="B9" s="2" t="s">
        <v>4</v>
      </c>
      <c r="C9" s="3" t="s">
        <v>14</v>
      </c>
      <c r="D9" s="3" t="s">
        <v>15</v>
      </c>
      <c r="E9" s="2" t="s">
        <v>16</v>
      </c>
      <c r="F9" s="2" t="s">
        <v>17</v>
      </c>
      <c r="G9" s="4" t="s">
        <v>18</v>
      </c>
      <c r="H9" s="5" t="s">
        <v>19</v>
      </c>
      <c r="I9" s="5" t="s">
        <v>20</v>
      </c>
      <c r="J9" s="4" t="s">
        <v>21</v>
      </c>
      <c r="K9" s="690" t="s">
        <v>298</v>
      </c>
      <c r="L9" s="690" t="s">
        <v>299</v>
      </c>
      <c r="M9" s="691" t="s">
        <v>300</v>
      </c>
      <c r="N9" s="305"/>
      <c r="O9" s="305"/>
      <c r="P9" s="305"/>
      <c r="Q9" s="305"/>
      <c r="R9" s="305"/>
      <c r="S9" s="305"/>
      <c r="T9" s="305"/>
      <c r="U9" s="305"/>
      <c r="V9" s="305"/>
      <c r="W9" s="305"/>
      <c r="X9" s="305"/>
      <c r="Y9" s="305"/>
      <c r="Z9" s="305"/>
      <c r="AA9" s="305"/>
      <c r="AB9" s="305"/>
      <c r="AC9" s="305"/>
    </row>
    <row r="10" spans="1:29" ht="38.25" x14ac:dyDescent="0.25">
      <c r="A10" s="50" t="s">
        <v>81</v>
      </c>
      <c r="B10" s="506" t="s">
        <v>748</v>
      </c>
      <c r="C10" s="507"/>
      <c r="D10" s="41" t="s">
        <v>44</v>
      </c>
      <c r="E10" s="12" t="s">
        <v>30</v>
      </c>
      <c r="F10" s="252">
        <v>27274.78</v>
      </c>
      <c r="G10" s="302">
        <v>68.89</v>
      </c>
      <c r="H10" s="308">
        <v>14.71</v>
      </c>
      <c r="I10" s="309">
        <v>83.6</v>
      </c>
      <c r="J10" s="310">
        <f t="shared" ref="J10:J26" si="0">I10*F10</f>
        <v>2280171.61</v>
      </c>
      <c r="K10" s="568">
        <f>J10/$J$44</f>
        <v>0.59919999999999995</v>
      </c>
      <c r="L10" s="569">
        <f>K10</f>
        <v>0.59919999999999995</v>
      </c>
      <c r="M10" s="570" t="str">
        <f>IF(L10&lt;=$J$48,"A",IF(L10&lt;=$J$49,"B","C"))</f>
        <v>A</v>
      </c>
      <c r="N10" s="305"/>
      <c r="O10" s="305"/>
      <c r="P10" s="305"/>
      <c r="Q10" s="305"/>
      <c r="R10" s="305"/>
      <c r="S10" s="305"/>
      <c r="T10" s="305"/>
      <c r="U10" s="305"/>
      <c r="V10" s="305"/>
      <c r="W10" s="305"/>
      <c r="X10" s="305"/>
      <c r="Y10" s="305"/>
      <c r="Z10" s="305"/>
      <c r="AA10" s="305"/>
      <c r="AB10" s="305"/>
      <c r="AC10" s="305"/>
    </row>
    <row r="11" spans="1:29" ht="63.75" x14ac:dyDescent="0.25">
      <c r="A11" s="50" t="s">
        <v>290</v>
      </c>
      <c r="B11" s="50">
        <v>94273</v>
      </c>
      <c r="C11" s="50" t="s">
        <v>10</v>
      </c>
      <c r="D11" s="39" t="s">
        <v>49</v>
      </c>
      <c r="E11" s="275" t="s">
        <v>42</v>
      </c>
      <c r="F11" s="252">
        <v>9800.73</v>
      </c>
      <c r="G11" s="61">
        <v>50.89</v>
      </c>
      <c r="H11" s="308">
        <v>10.87</v>
      </c>
      <c r="I11" s="309">
        <v>61.76</v>
      </c>
      <c r="J11" s="310">
        <f t="shared" si="0"/>
        <v>605293.07999999996</v>
      </c>
      <c r="K11" s="568">
        <f t="shared" ref="K11:K43" si="1">J11/$J$44</f>
        <v>0.15909999999999999</v>
      </c>
      <c r="L11" s="692">
        <f>K11+L10</f>
        <v>0.75829999999999997</v>
      </c>
      <c r="M11" s="570" t="str">
        <f t="shared" ref="M11:M43" si="2">IF(L11&lt;=$J$48,"A",IF(L11&lt;=$J$49,"B","C"))</f>
        <v>A</v>
      </c>
      <c r="N11" s="305"/>
      <c r="O11" s="305"/>
      <c r="P11" s="305"/>
      <c r="Q11" s="305"/>
      <c r="R11" s="305"/>
      <c r="S11" s="305"/>
      <c r="T11" s="305"/>
      <c r="U11" s="305"/>
      <c r="V11" s="305"/>
      <c r="W11" s="305"/>
      <c r="X11" s="305"/>
      <c r="Y11" s="305"/>
      <c r="Z11" s="305"/>
      <c r="AA11" s="305"/>
      <c r="AB11" s="305"/>
      <c r="AC11" s="305"/>
    </row>
    <row r="12" spans="1:29" ht="39" x14ac:dyDescent="0.25">
      <c r="A12" s="50" t="s">
        <v>697</v>
      </c>
      <c r="B12" s="687">
        <v>97973</v>
      </c>
      <c r="C12" s="449" t="s">
        <v>10</v>
      </c>
      <c r="D12" s="57" t="s">
        <v>445</v>
      </c>
      <c r="E12" s="449" t="s">
        <v>57</v>
      </c>
      <c r="F12" s="252">
        <v>61</v>
      </c>
      <c r="G12" s="738">
        <v>3194.57</v>
      </c>
      <c r="H12" s="308">
        <v>682.04</v>
      </c>
      <c r="I12" s="309">
        <v>3876.61</v>
      </c>
      <c r="J12" s="310">
        <f t="shared" si="0"/>
        <v>236473.21</v>
      </c>
      <c r="K12" s="568">
        <f t="shared" si="1"/>
        <v>6.2100000000000002E-2</v>
      </c>
      <c r="L12" s="692">
        <f t="shared" ref="L12:L43" si="3">K12+L11</f>
        <v>0.82040000000000002</v>
      </c>
      <c r="M12" s="570" t="str">
        <f t="shared" si="2"/>
        <v>B</v>
      </c>
      <c r="N12" s="305"/>
      <c r="O12" s="305"/>
      <c r="P12" s="305"/>
      <c r="Q12" s="305"/>
      <c r="R12" s="305"/>
      <c r="S12" s="305"/>
      <c r="T12" s="305"/>
      <c r="U12" s="305"/>
      <c r="V12" s="305"/>
      <c r="W12" s="305"/>
      <c r="X12" s="305"/>
      <c r="Y12" s="305"/>
      <c r="Z12" s="305"/>
      <c r="AA12" s="305"/>
      <c r="AB12" s="305"/>
      <c r="AC12" s="305"/>
    </row>
    <row r="13" spans="1:29" x14ac:dyDescent="0.25">
      <c r="A13" s="9" t="s">
        <v>9</v>
      </c>
      <c r="B13" s="506" t="s">
        <v>43</v>
      </c>
      <c r="C13" s="507"/>
      <c r="D13" s="11" t="s">
        <v>461</v>
      </c>
      <c r="E13" s="736" t="s">
        <v>437</v>
      </c>
      <c r="F13" s="267">
        <v>8</v>
      </c>
      <c r="G13" s="574">
        <v>17674</v>
      </c>
      <c r="H13" s="255">
        <v>3773.4</v>
      </c>
      <c r="I13" s="256">
        <v>21447.4</v>
      </c>
      <c r="J13" s="257">
        <f t="shared" si="0"/>
        <v>171579.2</v>
      </c>
      <c r="K13" s="568">
        <f t="shared" si="1"/>
        <v>4.5100000000000001E-2</v>
      </c>
      <c r="L13" s="692">
        <f t="shared" si="3"/>
        <v>0.86550000000000005</v>
      </c>
      <c r="M13" s="570" t="str">
        <f t="shared" si="2"/>
        <v>B</v>
      </c>
      <c r="N13" s="305"/>
      <c r="O13" s="305"/>
      <c r="P13" s="305"/>
      <c r="Q13" s="305"/>
      <c r="R13" s="305"/>
      <c r="S13" s="305"/>
      <c r="T13" s="305"/>
      <c r="U13" s="305"/>
      <c r="V13" s="305"/>
      <c r="W13" s="305"/>
      <c r="X13" s="305"/>
      <c r="Y13" s="305"/>
      <c r="Z13" s="305"/>
      <c r="AA13" s="305"/>
      <c r="AB13" s="305"/>
      <c r="AC13" s="305"/>
    </row>
    <row r="14" spans="1:29" ht="51.75" x14ac:dyDescent="0.25">
      <c r="A14" s="50" t="s">
        <v>291</v>
      </c>
      <c r="B14" s="738">
        <v>92210</v>
      </c>
      <c r="C14" s="448" t="s">
        <v>10</v>
      </c>
      <c r="D14" s="57" t="s">
        <v>266</v>
      </c>
      <c r="E14" s="738" t="s">
        <v>42</v>
      </c>
      <c r="F14" s="251">
        <v>520.09</v>
      </c>
      <c r="G14" s="9">
        <v>107.62</v>
      </c>
      <c r="H14" s="308">
        <v>22.98</v>
      </c>
      <c r="I14" s="308">
        <v>130.6</v>
      </c>
      <c r="J14" s="308">
        <f t="shared" si="0"/>
        <v>67923.75</v>
      </c>
      <c r="K14" s="568">
        <f t="shared" si="1"/>
        <v>1.78E-2</v>
      </c>
      <c r="L14" s="692">
        <f t="shared" si="3"/>
        <v>0.88329999999999997</v>
      </c>
      <c r="M14" s="570" t="str">
        <f t="shared" si="2"/>
        <v>B</v>
      </c>
      <c r="N14" s="305"/>
      <c r="O14" s="305"/>
      <c r="P14" s="305"/>
      <c r="Q14" s="305"/>
      <c r="R14" s="305"/>
      <c r="S14" s="305"/>
      <c r="T14" s="305"/>
      <c r="U14" s="305"/>
      <c r="V14" s="305"/>
      <c r="W14" s="305"/>
      <c r="X14" s="305"/>
      <c r="Y14" s="305"/>
      <c r="Z14" s="305"/>
      <c r="AA14" s="305"/>
      <c r="AB14" s="305"/>
      <c r="AC14" s="305"/>
    </row>
    <row r="15" spans="1:29" ht="38.25" x14ac:dyDescent="0.25">
      <c r="A15" s="50" t="s">
        <v>698</v>
      </c>
      <c r="B15" s="319" t="s">
        <v>835</v>
      </c>
      <c r="C15" s="320"/>
      <c r="D15" s="41" t="s">
        <v>274</v>
      </c>
      <c r="E15" s="738" t="s">
        <v>57</v>
      </c>
      <c r="F15" s="251">
        <v>50</v>
      </c>
      <c r="G15" s="9">
        <v>810.41</v>
      </c>
      <c r="H15" s="308">
        <v>173.02</v>
      </c>
      <c r="I15" s="308">
        <v>983.43</v>
      </c>
      <c r="J15" s="308">
        <f t="shared" si="0"/>
        <v>49171.5</v>
      </c>
      <c r="K15" s="568">
        <f t="shared" si="1"/>
        <v>1.29E-2</v>
      </c>
      <c r="L15" s="692">
        <f t="shared" si="3"/>
        <v>0.8962</v>
      </c>
      <c r="M15" s="570" t="str">
        <f t="shared" si="2"/>
        <v>B</v>
      </c>
      <c r="N15" s="305"/>
      <c r="O15" s="305"/>
      <c r="P15" s="305"/>
      <c r="Q15" s="305"/>
      <c r="R15" s="305"/>
      <c r="S15" s="305"/>
      <c r="T15" s="305"/>
      <c r="U15" s="305"/>
      <c r="V15" s="305"/>
      <c r="W15" s="305"/>
      <c r="X15" s="305"/>
      <c r="Y15" s="305"/>
      <c r="Z15" s="305"/>
      <c r="AA15" s="305"/>
      <c r="AB15" s="305"/>
      <c r="AC15" s="305"/>
    </row>
    <row r="16" spans="1:29" ht="39" x14ac:dyDescent="0.25">
      <c r="A16" s="50" t="s">
        <v>293</v>
      </c>
      <c r="B16" s="688">
        <v>101620</v>
      </c>
      <c r="C16" s="275" t="s">
        <v>10</v>
      </c>
      <c r="D16" s="47" t="s">
        <v>53</v>
      </c>
      <c r="E16" s="50" t="s">
        <v>34</v>
      </c>
      <c r="F16" s="251">
        <v>239.54</v>
      </c>
      <c r="G16" s="9">
        <v>155.78</v>
      </c>
      <c r="H16" s="308">
        <v>33.26</v>
      </c>
      <c r="I16" s="308">
        <v>189.04</v>
      </c>
      <c r="J16" s="308">
        <f t="shared" si="0"/>
        <v>45282.64</v>
      </c>
      <c r="K16" s="568">
        <f t="shared" si="1"/>
        <v>1.1900000000000001E-2</v>
      </c>
      <c r="L16" s="692">
        <f t="shared" si="3"/>
        <v>0.90810000000000002</v>
      </c>
      <c r="M16" s="570" t="str">
        <f t="shared" si="2"/>
        <v>B</v>
      </c>
      <c r="N16" s="305"/>
      <c r="O16" s="305"/>
      <c r="P16" s="305"/>
      <c r="Q16" s="305"/>
      <c r="R16" s="305"/>
      <c r="S16" s="305"/>
      <c r="T16" s="305"/>
      <c r="U16" s="305"/>
      <c r="V16" s="305"/>
      <c r="W16" s="305"/>
      <c r="X16" s="305"/>
      <c r="Y16" s="305"/>
      <c r="Z16" s="305"/>
      <c r="AA16" s="305"/>
      <c r="AB16" s="305"/>
      <c r="AC16" s="305"/>
    </row>
    <row r="17" spans="1:29" ht="39" x14ac:dyDescent="0.25">
      <c r="A17" s="50" t="s">
        <v>695</v>
      </c>
      <c r="B17" s="50">
        <v>99241</v>
      </c>
      <c r="C17" s="448" t="s">
        <v>10</v>
      </c>
      <c r="D17" s="47" t="s">
        <v>58</v>
      </c>
      <c r="E17" s="50" t="s">
        <v>42</v>
      </c>
      <c r="F17" s="251">
        <v>30.6</v>
      </c>
      <c r="G17" s="50">
        <v>1218.05</v>
      </c>
      <c r="H17" s="308">
        <v>260.05</v>
      </c>
      <c r="I17" s="308">
        <v>1478.1</v>
      </c>
      <c r="J17" s="308">
        <f t="shared" si="0"/>
        <v>45229.86</v>
      </c>
      <c r="K17" s="568">
        <f t="shared" si="1"/>
        <v>1.1900000000000001E-2</v>
      </c>
      <c r="L17" s="692">
        <f t="shared" si="3"/>
        <v>0.92</v>
      </c>
      <c r="M17" s="570" t="str">
        <f t="shared" si="2"/>
        <v>B</v>
      </c>
      <c r="N17" s="305"/>
      <c r="O17" s="305"/>
      <c r="P17" s="305"/>
      <c r="Q17" s="305"/>
      <c r="R17" s="305"/>
      <c r="S17" s="305"/>
      <c r="T17" s="305"/>
      <c r="U17" s="305"/>
      <c r="V17" s="305"/>
      <c r="W17" s="305"/>
      <c r="X17" s="305"/>
      <c r="Y17" s="305"/>
      <c r="Z17" s="305"/>
      <c r="AA17" s="305"/>
      <c r="AB17" s="305"/>
      <c r="AC17" s="305"/>
    </row>
    <row r="18" spans="1:29" ht="26.25" x14ac:dyDescent="0.25">
      <c r="A18" s="50" t="s">
        <v>294</v>
      </c>
      <c r="B18" s="18">
        <v>93382</v>
      </c>
      <c r="C18" s="751" t="s">
        <v>10</v>
      </c>
      <c r="D18" s="444" t="s">
        <v>271</v>
      </c>
      <c r="E18" s="740" t="s">
        <v>34</v>
      </c>
      <c r="F18" s="306">
        <v>1594.76</v>
      </c>
      <c r="G18" s="302">
        <v>22.91</v>
      </c>
      <c r="H18" s="308">
        <v>4.8899999999999997</v>
      </c>
      <c r="I18" s="309">
        <v>27.8</v>
      </c>
      <c r="J18" s="310">
        <f t="shared" si="0"/>
        <v>44334.33</v>
      </c>
      <c r="K18" s="568">
        <f t="shared" si="1"/>
        <v>1.1599999999999999E-2</v>
      </c>
      <c r="L18" s="692">
        <f t="shared" si="3"/>
        <v>0.93159999999999998</v>
      </c>
      <c r="M18" s="570" t="str">
        <f t="shared" si="2"/>
        <v>B</v>
      </c>
      <c r="N18" s="305"/>
      <c r="O18" s="305"/>
      <c r="P18" s="305"/>
      <c r="Q18" s="305"/>
      <c r="R18" s="305"/>
      <c r="S18" s="305"/>
      <c r="T18" s="305"/>
      <c r="U18" s="305"/>
      <c r="V18" s="305"/>
      <c r="W18" s="305"/>
      <c r="X18" s="305"/>
      <c r="Y18" s="305"/>
      <c r="Z18" s="305"/>
      <c r="AA18" s="305"/>
      <c r="AB18" s="305"/>
      <c r="AC18" s="305"/>
    </row>
    <row r="19" spans="1:29" ht="39" x14ac:dyDescent="0.25">
      <c r="A19" s="50" t="s">
        <v>696</v>
      </c>
      <c r="B19" s="563">
        <v>97961</v>
      </c>
      <c r="C19" s="564" t="s">
        <v>10</v>
      </c>
      <c r="D19" s="565" t="s">
        <v>273</v>
      </c>
      <c r="E19" s="563" t="s">
        <v>57</v>
      </c>
      <c r="F19" s="566">
        <v>21</v>
      </c>
      <c r="G19" s="567">
        <v>1668.77</v>
      </c>
      <c r="H19" s="308">
        <v>356.28</v>
      </c>
      <c r="I19" s="308">
        <v>2025.05</v>
      </c>
      <c r="J19" s="308">
        <f t="shared" si="0"/>
        <v>42526.05</v>
      </c>
      <c r="K19" s="568">
        <f t="shared" si="1"/>
        <v>1.12E-2</v>
      </c>
      <c r="L19" s="692">
        <f t="shared" si="3"/>
        <v>0.94279999999999997</v>
      </c>
      <c r="M19" s="570" t="str">
        <f t="shared" si="2"/>
        <v>B</v>
      </c>
      <c r="N19" s="305"/>
      <c r="O19" s="305"/>
      <c r="P19" s="305"/>
      <c r="Q19" s="305"/>
      <c r="R19" s="305"/>
      <c r="S19" s="305"/>
      <c r="T19" s="305"/>
      <c r="U19" s="305"/>
      <c r="V19" s="305"/>
      <c r="W19" s="305"/>
      <c r="X19" s="305"/>
      <c r="Y19" s="305"/>
      <c r="Z19" s="305"/>
      <c r="AA19" s="305"/>
      <c r="AB19" s="305"/>
      <c r="AC19" s="305"/>
    </row>
    <row r="20" spans="1:29" ht="38.25" x14ac:dyDescent="0.25">
      <c r="A20" s="50" t="s">
        <v>693</v>
      </c>
      <c r="B20" s="18">
        <v>101572</v>
      </c>
      <c r="C20" s="18" t="s">
        <v>10</v>
      </c>
      <c r="D20" s="321" t="s">
        <v>275</v>
      </c>
      <c r="E20" s="322" t="s">
        <v>30</v>
      </c>
      <c r="F20" s="267">
        <v>2292.9899999999998</v>
      </c>
      <c r="G20" s="18">
        <v>13.11</v>
      </c>
      <c r="H20" s="308">
        <v>2.8</v>
      </c>
      <c r="I20" s="308">
        <v>15.91</v>
      </c>
      <c r="J20" s="308">
        <f t="shared" si="0"/>
        <v>36481.47</v>
      </c>
      <c r="K20" s="568">
        <f t="shared" si="1"/>
        <v>9.5999999999999992E-3</v>
      </c>
      <c r="L20" s="692">
        <f t="shared" si="3"/>
        <v>0.95240000000000002</v>
      </c>
      <c r="M20" s="570" t="str">
        <f t="shared" si="2"/>
        <v>C</v>
      </c>
      <c r="N20" s="305"/>
      <c r="O20" s="305"/>
      <c r="P20" s="305"/>
      <c r="Q20" s="305"/>
      <c r="R20" s="305"/>
      <c r="S20" s="305"/>
      <c r="T20" s="305"/>
      <c r="U20" s="305"/>
      <c r="V20" s="305"/>
      <c r="W20" s="305"/>
      <c r="X20" s="305"/>
      <c r="Y20" s="305"/>
      <c r="Z20" s="305"/>
      <c r="AA20" s="305"/>
      <c r="AB20" s="305"/>
      <c r="AC20" s="305"/>
    </row>
    <row r="21" spans="1:29" ht="25.5" x14ac:dyDescent="0.25">
      <c r="A21" s="50" t="s">
        <v>76</v>
      </c>
      <c r="B21" s="739">
        <v>100577</v>
      </c>
      <c r="C21" s="740" t="s">
        <v>37</v>
      </c>
      <c r="D21" s="38" t="s">
        <v>38</v>
      </c>
      <c r="E21" s="40" t="s">
        <v>30</v>
      </c>
      <c r="F21" s="252">
        <v>27274.78</v>
      </c>
      <c r="G21" s="50">
        <v>0.8</v>
      </c>
      <c r="H21" s="308">
        <v>0.17</v>
      </c>
      <c r="I21" s="308">
        <v>0.97</v>
      </c>
      <c r="J21" s="308">
        <f t="shared" si="0"/>
        <v>26456.54</v>
      </c>
      <c r="K21" s="568">
        <f t="shared" si="1"/>
        <v>7.0000000000000001E-3</v>
      </c>
      <c r="L21" s="692">
        <f t="shared" si="3"/>
        <v>0.95940000000000003</v>
      </c>
      <c r="M21" s="570" t="str">
        <f t="shared" si="2"/>
        <v>C</v>
      </c>
      <c r="N21" s="305"/>
      <c r="O21" s="305"/>
      <c r="P21" s="305"/>
      <c r="Q21" s="305"/>
      <c r="R21" s="305"/>
      <c r="S21" s="305"/>
      <c r="T21" s="305"/>
      <c r="U21" s="305"/>
      <c r="V21" s="305"/>
      <c r="W21" s="305"/>
      <c r="X21" s="305"/>
      <c r="Y21" s="305"/>
      <c r="Z21" s="305"/>
      <c r="AA21" s="305"/>
      <c r="AB21" s="305"/>
      <c r="AC21" s="305"/>
    </row>
    <row r="22" spans="1:29" ht="38.25" x14ac:dyDescent="0.25">
      <c r="A22" s="738" t="s">
        <v>70</v>
      </c>
      <c r="B22" s="18">
        <v>95875</v>
      </c>
      <c r="C22" s="18" t="s">
        <v>10</v>
      </c>
      <c r="D22" s="49" t="s">
        <v>35</v>
      </c>
      <c r="E22" s="18" t="s">
        <v>36</v>
      </c>
      <c r="F22" s="271">
        <v>11035.5</v>
      </c>
      <c r="G22" s="50">
        <v>1.75</v>
      </c>
      <c r="H22" s="308">
        <v>0.37</v>
      </c>
      <c r="I22" s="308">
        <v>2.12</v>
      </c>
      <c r="J22" s="308">
        <f t="shared" si="0"/>
        <v>23395.26</v>
      </c>
      <c r="K22" s="568">
        <f t="shared" si="1"/>
        <v>6.1000000000000004E-3</v>
      </c>
      <c r="L22" s="692">
        <f t="shared" si="3"/>
        <v>0.96550000000000002</v>
      </c>
      <c r="M22" s="570" t="str">
        <f t="shared" si="2"/>
        <v>C</v>
      </c>
      <c r="N22" s="305"/>
      <c r="O22" s="305"/>
      <c r="P22" s="305"/>
      <c r="Q22" s="305"/>
      <c r="R22" s="305"/>
      <c r="S22" s="305"/>
      <c r="T22" s="305"/>
      <c r="U22" s="305"/>
      <c r="V22" s="305"/>
      <c r="W22" s="305"/>
      <c r="X22" s="305"/>
      <c r="Y22" s="305"/>
      <c r="Z22" s="305"/>
      <c r="AA22" s="305"/>
      <c r="AB22" s="305"/>
      <c r="AC22" s="305"/>
    </row>
    <row r="23" spans="1:29" ht="38.25" x14ac:dyDescent="0.25">
      <c r="A23" s="9" t="s">
        <v>32</v>
      </c>
      <c r="B23" s="43">
        <f>'ORÇAMENTO POR RUA'!B22</f>
        <v>92335</v>
      </c>
      <c r="C23" s="9" t="s">
        <v>10</v>
      </c>
      <c r="D23" s="346" t="str">
        <f>'ORÇAMENTO POR RUA'!D22</f>
        <v>TUBO DE AÇO GALVANIZADO COM COSTURA, CLASSE MÉDIA, CONEXÃO RANHURADA, DN 50 (2"), INSTALADO EM PRUMADAS - FORNECIMENTO E INSTALAÇÃO. AF_10/2020</v>
      </c>
      <c r="E23" s="9" t="s">
        <v>42</v>
      </c>
      <c r="F23" s="426">
        <v>141</v>
      </c>
      <c r="G23" s="689">
        <v>118.27</v>
      </c>
      <c r="H23" s="308">
        <v>25.25</v>
      </c>
      <c r="I23" s="308">
        <v>143.52000000000001</v>
      </c>
      <c r="J23" s="308">
        <f t="shared" si="0"/>
        <v>20236.32</v>
      </c>
      <c r="K23" s="568">
        <f t="shared" si="1"/>
        <v>5.3E-3</v>
      </c>
      <c r="L23" s="692">
        <f t="shared" si="3"/>
        <v>0.9708</v>
      </c>
      <c r="M23" s="570" t="str">
        <f t="shared" si="2"/>
        <v>C</v>
      </c>
      <c r="N23" s="305"/>
      <c r="O23" s="305"/>
      <c r="P23" s="305"/>
      <c r="Q23" s="305"/>
      <c r="R23" s="305"/>
      <c r="S23" s="305"/>
      <c r="T23" s="305"/>
      <c r="U23" s="305"/>
      <c r="V23" s="305"/>
      <c r="W23" s="305"/>
      <c r="X23" s="305"/>
      <c r="Y23" s="305"/>
      <c r="Z23" s="305"/>
      <c r="AA23" s="305"/>
      <c r="AB23" s="305"/>
      <c r="AC23" s="305"/>
    </row>
    <row r="24" spans="1:29" ht="51" x14ac:dyDescent="0.25">
      <c r="A24" s="18" t="s">
        <v>65</v>
      </c>
      <c r="B24" s="18">
        <v>100973</v>
      </c>
      <c r="C24" s="751" t="s">
        <v>10</v>
      </c>
      <c r="D24" s="11" t="s">
        <v>45</v>
      </c>
      <c r="E24" s="740" t="s">
        <v>34</v>
      </c>
      <c r="F24" s="271">
        <v>2207.1</v>
      </c>
      <c r="G24" s="50">
        <v>6.43</v>
      </c>
      <c r="H24" s="308">
        <v>1.37</v>
      </c>
      <c r="I24" s="309">
        <v>7.8</v>
      </c>
      <c r="J24" s="310">
        <f t="shared" si="0"/>
        <v>17215.38</v>
      </c>
      <c r="K24" s="568">
        <f t="shared" si="1"/>
        <v>4.4999999999999997E-3</v>
      </c>
      <c r="L24" s="692">
        <f t="shared" si="3"/>
        <v>0.97529999999999994</v>
      </c>
      <c r="M24" s="570" t="str">
        <f t="shared" si="2"/>
        <v>C</v>
      </c>
      <c r="N24" s="305"/>
      <c r="O24" s="305"/>
      <c r="P24" s="305"/>
      <c r="Q24" s="305"/>
      <c r="R24" s="305"/>
      <c r="S24" s="305"/>
      <c r="T24" s="305"/>
      <c r="U24" s="305"/>
      <c r="V24" s="305"/>
      <c r="W24" s="305"/>
      <c r="X24" s="305"/>
      <c r="Y24" s="305"/>
      <c r="Z24" s="305"/>
      <c r="AA24" s="305"/>
      <c r="AB24" s="305"/>
      <c r="AC24" s="305"/>
    </row>
    <row r="25" spans="1:29" ht="25.5" x14ac:dyDescent="0.25">
      <c r="A25" s="9" t="s">
        <v>39</v>
      </c>
      <c r="B25" s="737">
        <f>'ORÇAMENTO POR RUA'!B23</f>
        <v>5213440</v>
      </c>
      <c r="C25" s="18" t="s">
        <v>10</v>
      </c>
      <c r="D25" s="11" t="str">
        <f>'ORÇAMENTO POR RUA'!D23</f>
        <v>PLACA DE REGULAMENTAÇÃO EM AÇO D = 0,60 M - PELÍCULA RETRORREFLETIVA TIPO I + SI - FORNECIMENTO E IMPLANTAÇÃO</v>
      </c>
      <c r="E25" s="18" t="s">
        <v>30</v>
      </c>
      <c r="F25" s="306">
        <v>47</v>
      </c>
      <c r="G25" s="307">
        <v>215.95</v>
      </c>
      <c r="H25" s="308">
        <v>46.11</v>
      </c>
      <c r="I25" s="308">
        <v>262.06</v>
      </c>
      <c r="J25" s="308">
        <f t="shared" si="0"/>
        <v>12316.82</v>
      </c>
      <c r="K25" s="568">
        <f t="shared" si="1"/>
        <v>3.2000000000000002E-3</v>
      </c>
      <c r="L25" s="692">
        <f t="shared" si="3"/>
        <v>0.97850000000000004</v>
      </c>
      <c r="M25" s="570" t="str">
        <f t="shared" si="2"/>
        <v>C</v>
      </c>
      <c r="N25" s="305"/>
      <c r="O25" s="305"/>
      <c r="P25" s="305"/>
      <c r="Q25" s="305"/>
      <c r="R25" s="305"/>
      <c r="S25" s="305"/>
      <c r="T25" s="305"/>
      <c r="U25" s="305"/>
      <c r="V25" s="305"/>
      <c r="W25" s="305"/>
      <c r="X25" s="305"/>
      <c r="Y25" s="305"/>
      <c r="Z25" s="305"/>
      <c r="AA25" s="305"/>
      <c r="AB25" s="305"/>
      <c r="AC25" s="305"/>
    </row>
    <row r="26" spans="1:29" ht="64.5" x14ac:dyDescent="0.25">
      <c r="A26" s="50" t="s">
        <v>87</v>
      </c>
      <c r="B26" s="50">
        <v>90082</v>
      </c>
      <c r="C26" s="50" t="s">
        <v>10</v>
      </c>
      <c r="D26" s="47" t="s">
        <v>50</v>
      </c>
      <c r="E26" s="50" t="s">
        <v>34</v>
      </c>
      <c r="F26" s="251">
        <v>1219.53</v>
      </c>
      <c r="G26" s="426">
        <v>7.9</v>
      </c>
      <c r="H26" s="308">
        <v>1.69</v>
      </c>
      <c r="I26" s="308">
        <v>9.59</v>
      </c>
      <c r="J26" s="308">
        <f t="shared" si="0"/>
        <v>11695.29</v>
      </c>
      <c r="K26" s="568">
        <f t="shared" si="1"/>
        <v>3.0999999999999999E-3</v>
      </c>
      <c r="L26" s="692">
        <f t="shared" si="3"/>
        <v>0.98160000000000003</v>
      </c>
      <c r="M26" s="570" t="str">
        <f t="shared" si="2"/>
        <v>C</v>
      </c>
      <c r="N26" s="305"/>
      <c r="O26" s="305"/>
      <c r="P26" s="305"/>
      <c r="Q26" s="305"/>
      <c r="R26" s="305"/>
      <c r="S26" s="305"/>
      <c r="T26" s="305"/>
      <c r="U26" s="305"/>
      <c r="V26" s="305"/>
      <c r="W26" s="305"/>
      <c r="X26" s="305"/>
      <c r="Y26" s="305"/>
      <c r="Z26" s="305"/>
      <c r="AA26" s="305"/>
      <c r="AB26" s="305"/>
      <c r="AC26" s="305"/>
    </row>
    <row r="27" spans="1:29" ht="38.25" x14ac:dyDescent="0.25">
      <c r="A27" s="9" t="s">
        <v>439</v>
      </c>
      <c r="B27" s="43" t="s">
        <v>702</v>
      </c>
      <c r="C27" s="42" t="s">
        <v>10</v>
      </c>
      <c r="D27" s="314" t="s">
        <v>442</v>
      </c>
      <c r="E27" s="18" t="s">
        <v>437</v>
      </c>
      <c r="F27" s="306">
        <v>10</v>
      </c>
      <c r="G27" s="487">
        <v>664.21</v>
      </c>
      <c r="H27" s="308">
        <v>93.06</v>
      </c>
      <c r="I27" s="308">
        <v>757.27</v>
      </c>
      <c r="J27" s="308">
        <f>ROUND(I27*F27,2)</f>
        <v>7572.7</v>
      </c>
      <c r="K27" s="568">
        <f t="shared" si="1"/>
        <v>2E-3</v>
      </c>
      <c r="L27" s="692">
        <f t="shared" si="3"/>
        <v>0.98360000000000003</v>
      </c>
      <c r="M27" s="570" t="str">
        <f t="shared" si="2"/>
        <v>C</v>
      </c>
      <c r="N27" s="305"/>
      <c r="O27" s="305"/>
      <c r="P27" s="305"/>
      <c r="Q27" s="305"/>
      <c r="R27" s="305"/>
      <c r="S27" s="305"/>
      <c r="T27" s="305"/>
      <c r="U27" s="305"/>
      <c r="V27" s="305"/>
      <c r="W27" s="305"/>
      <c r="X27" s="305"/>
      <c r="Y27" s="305"/>
      <c r="Z27" s="305"/>
      <c r="AA27" s="305"/>
      <c r="AB27" s="305"/>
      <c r="AC27" s="305"/>
    </row>
    <row r="28" spans="1:29" ht="38.25" x14ac:dyDescent="0.25">
      <c r="A28" s="9" t="s">
        <v>438</v>
      </c>
      <c r="B28" s="43" t="s">
        <v>701</v>
      </c>
      <c r="C28" s="42" t="s">
        <v>10</v>
      </c>
      <c r="D28" s="314" t="s">
        <v>436</v>
      </c>
      <c r="E28" s="18" t="s">
        <v>437</v>
      </c>
      <c r="F28" s="306">
        <v>10</v>
      </c>
      <c r="G28" s="487">
        <v>585</v>
      </c>
      <c r="H28" s="309">
        <v>81.96</v>
      </c>
      <c r="I28" s="309">
        <v>666.96</v>
      </c>
      <c r="J28" s="309">
        <f>ROUND(I28*F28,2)</f>
        <v>6669.6</v>
      </c>
      <c r="K28" s="568">
        <f t="shared" si="1"/>
        <v>1.8E-3</v>
      </c>
      <c r="L28" s="692">
        <f t="shared" si="3"/>
        <v>0.98540000000000005</v>
      </c>
      <c r="M28" s="570" t="str">
        <f t="shared" si="2"/>
        <v>C</v>
      </c>
      <c r="N28" s="305"/>
      <c r="O28" s="305"/>
      <c r="P28" s="305"/>
      <c r="Q28" s="305"/>
      <c r="R28" s="305"/>
      <c r="S28" s="305"/>
      <c r="T28" s="305"/>
      <c r="U28" s="305"/>
      <c r="V28" s="305"/>
      <c r="W28" s="305"/>
      <c r="X28" s="305"/>
      <c r="Y28" s="305"/>
      <c r="Z28" s="305"/>
      <c r="AA28" s="305"/>
      <c r="AB28" s="305"/>
      <c r="AC28" s="305"/>
    </row>
    <row r="29" spans="1:29" ht="25.5" x14ac:dyDescent="0.25">
      <c r="A29" s="50" t="s">
        <v>61</v>
      </c>
      <c r="B29" s="18">
        <v>101114</v>
      </c>
      <c r="C29" s="751" t="s">
        <v>10</v>
      </c>
      <c r="D29" s="48" t="s">
        <v>270</v>
      </c>
      <c r="E29" s="740" t="s">
        <v>34</v>
      </c>
      <c r="F29" s="271">
        <v>1765.66</v>
      </c>
      <c r="G29" s="50">
        <v>2.94</v>
      </c>
      <c r="H29" s="308">
        <v>0.63</v>
      </c>
      <c r="I29" s="308">
        <v>3.57</v>
      </c>
      <c r="J29" s="308">
        <f t="shared" ref="J29:J43" si="4">I29*F29</f>
        <v>6303.41</v>
      </c>
      <c r="K29" s="568">
        <f t="shared" si="1"/>
        <v>1.6999999999999999E-3</v>
      </c>
      <c r="L29" s="692">
        <f t="shared" si="3"/>
        <v>0.98709999999999998</v>
      </c>
      <c r="M29" s="570" t="str">
        <f t="shared" si="2"/>
        <v>C</v>
      </c>
      <c r="N29" s="305"/>
      <c r="O29" s="305"/>
      <c r="P29" s="305"/>
      <c r="Q29" s="305"/>
      <c r="R29" s="305"/>
      <c r="S29" s="305"/>
      <c r="T29" s="305"/>
      <c r="U29" s="305"/>
      <c r="V29" s="305"/>
      <c r="W29" s="305"/>
      <c r="X29" s="305"/>
      <c r="Y29" s="305"/>
      <c r="Z29" s="305"/>
      <c r="AA29" s="305"/>
      <c r="AB29" s="305"/>
      <c r="AC29" s="305"/>
    </row>
    <row r="30" spans="1:29" ht="38.25" x14ac:dyDescent="0.25">
      <c r="A30" s="9" t="s">
        <v>441</v>
      </c>
      <c r="B30" s="16">
        <v>93214</v>
      </c>
      <c r="C30" s="274" t="s">
        <v>10</v>
      </c>
      <c r="D30" s="314" t="s">
        <v>444</v>
      </c>
      <c r="E30" s="18" t="s">
        <v>57</v>
      </c>
      <c r="F30" s="306">
        <v>1</v>
      </c>
      <c r="G30" s="307">
        <v>4951.24</v>
      </c>
      <c r="H30" s="308">
        <v>1057.0899999999999</v>
      </c>
      <c r="I30" s="308">
        <v>6008.33</v>
      </c>
      <c r="J30" s="308">
        <f t="shared" si="4"/>
        <v>6008.33</v>
      </c>
      <c r="K30" s="568">
        <f t="shared" si="1"/>
        <v>1.6000000000000001E-3</v>
      </c>
      <c r="L30" s="692">
        <f t="shared" si="3"/>
        <v>0.98870000000000002</v>
      </c>
      <c r="M30" s="570" t="str">
        <f t="shared" si="2"/>
        <v>C</v>
      </c>
      <c r="N30" s="305"/>
      <c r="O30" s="305"/>
      <c r="P30" s="305"/>
      <c r="Q30" s="305"/>
      <c r="R30" s="305"/>
      <c r="S30" s="305"/>
      <c r="T30" s="305"/>
      <c r="U30" s="305"/>
      <c r="V30" s="305"/>
      <c r="W30" s="305"/>
      <c r="X30" s="305"/>
      <c r="Y30" s="305"/>
      <c r="Z30" s="305"/>
      <c r="AA30" s="305"/>
      <c r="AB30" s="305"/>
      <c r="AC30" s="305"/>
    </row>
    <row r="31" spans="1:29" ht="64.5" x14ac:dyDescent="0.25">
      <c r="A31" s="50" t="s">
        <v>92</v>
      </c>
      <c r="B31" s="688">
        <v>90084</v>
      </c>
      <c r="C31" s="275" t="s">
        <v>10</v>
      </c>
      <c r="D31" s="47" t="s">
        <v>51</v>
      </c>
      <c r="E31" s="50" t="s">
        <v>34</v>
      </c>
      <c r="F31" s="251">
        <v>622.20000000000005</v>
      </c>
      <c r="G31" s="50">
        <v>7.65</v>
      </c>
      <c r="H31" s="308">
        <v>1.63</v>
      </c>
      <c r="I31" s="308">
        <v>9.2799999999999994</v>
      </c>
      <c r="J31" s="308">
        <f t="shared" si="4"/>
        <v>5774.02</v>
      </c>
      <c r="K31" s="568">
        <f t="shared" si="1"/>
        <v>1.5E-3</v>
      </c>
      <c r="L31" s="692">
        <f t="shared" si="3"/>
        <v>0.99019999999999997</v>
      </c>
      <c r="M31" s="570" t="str">
        <f t="shared" si="2"/>
        <v>C</v>
      </c>
      <c r="N31" s="305"/>
      <c r="O31" s="305"/>
      <c r="P31" s="305"/>
      <c r="Q31" s="305"/>
      <c r="R31" s="305"/>
      <c r="S31" s="305"/>
      <c r="T31" s="305"/>
      <c r="U31" s="305"/>
      <c r="V31" s="305"/>
      <c r="W31" s="305"/>
      <c r="X31" s="305"/>
      <c r="Y31" s="305"/>
      <c r="Z31" s="305"/>
      <c r="AA31" s="305"/>
      <c r="AB31" s="305"/>
      <c r="AC31" s="305"/>
    </row>
    <row r="32" spans="1:29" x14ac:dyDescent="0.25">
      <c r="A32" s="9" t="s">
        <v>435</v>
      </c>
      <c r="B32" s="319" t="s">
        <v>737</v>
      </c>
      <c r="C32" s="319"/>
      <c r="D32" s="11" t="s">
        <v>434</v>
      </c>
      <c r="E32" s="18" t="s">
        <v>30</v>
      </c>
      <c r="F32" s="306">
        <v>1084.02</v>
      </c>
      <c r="G32" s="307">
        <v>4.25</v>
      </c>
      <c r="H32" s="255">
        <v>0.91</v>
      </c>
      <c r="I32" s="508">
        <v>5.16</v>
      </c>
      <c r="J32" s="508">
        <f t="shared" si="4"/>
        <v>5593.54</v>
      </c>
      <c r="K32" s="568">
        <f t="shared" si="1"/>
        <v>1.5E-3</v>
      </c>
      <c r="L32" s="692">
        <f t="shared" si="3"/>
        <v>0.99170000000000003</v>
      </c>
      <c r="M32" s="570" t="str">
        <f t="shared" si="2"/>
        <v>C</v>
      </c>
      <c r="N32" s="305"/>
      <c r="O32" s="305"/>
      <c r="P32" s="305"/>
      <c r="Q32" s="305"/>
      <c r="R32" s="305"/>
      <c r="S32" s="305"/>
      <c r="T32" s="305"/>
      <c r="U32" s="305"/>
      <c r="V32" s="305"/>
      <c r="W32" s="305"/>
      <c r="X32" s="305"/>
      <c r="Y32" s="305"/>
      <c r="Z32" s="305"/>
      <c r="AA32" s="305"/>
      <c r="AB32" s="305"/>
      <c r="AC32" s="305"/>
    </row>
    <row r="33" spans="1:29" ht="51.75" x14ac:dyDescent="0.25">
      <c r="A33" s="50" t="s">
        <v>292</v>
      </c>
      <c r="B33" s="738">
        <v>92212</v>
      </c>
      <c r="C33" s="738" t="s">
        <v>10</v>
      </c>
      <c r="D33" s="57" t="s">
        <v>52</v>
      </c>
      <c r="E33" s="738" t="s">
        <v>42</v>
      </c>
      <c r="F33" s="251">
        <v>21.92</v>
      </c>
      <c r="G33" s="9">
        <v>190.42</v>
      </c>
      <c r="H33" s="308">
        <v>40.65</v>
      </c>
      <c r="I33" s="309">
        <v>231.07</v>
      </c>
      <c r="J33" s="310">
        <f t="shared" si="4"/>
        <v>5065.05</v>
      </c>
      <c r="K33" s="568">
        <f t="shared" si="1"/>
        <v>1.2999999999999999E-3</v>
      </c>
      <c r="L33" s="692">
        <f t="shared" si="3"/>
        <v>0.99299999999999999</v>
      </c>
      <c r="M33" s="570" t="str">
        <f t="shared" si="2"/>
        <v>C</v>
      </c>
      <c r="N33" s="305"/>
      <c r="O33" s="305"/>
      <c r="P33" s="305"/>
      <c r="Q33" s="305"/>
      <c r="R33" s="305"/>
      <c r="S33" s="305"/>
      <c r="T33" s="305"/>
      <c r="U33" s="305"/>
      <c r="V33" s="305"/>
      <c r="W33" s="305"/>
      <c r="X33" s="305"/>
      <c r="Y33" s="305"/>
      <c r="Z33" s="305"/>
      <c r="AA33" s="305"/>
      <c r="AB33" s="305"/>
      <c r="AC33" s="305"/>
    </row>
    <row r="34" spans="1:29" ht="25.5" x14ac:dyDescent="0.25">
      <c r="A34" s="9" t="s">
        <v>46</v>
      </c>
      <c r="B34" s="750" t="s">
        <v>740</v>
      </c>
      <c r="C34" s="750"/>
      <c r="D34" s="56" t="str">
        <f>'ORÇAMENTO POR RUA'!D24</f>
        <v>PLACA DE ACO ESMALTADA PARA IDENTIFICACAO DE RUA, *45 CM X 20* CM</v>
      </c>
      <c r="E34" s="9" t="s">
        <v>57</v>
      </c>
      <c r="F34" s="306">
        <v>47</v>
      </c>
      <c r="G34" s="307">
        <v>81.67</v>
      </c>
      <c r="H34" s="308">
        <v>17.440000000000001</v>
      </c>
      <c r="I34" s="308">
        <v>99.11</v>
      </c>
      <c r="J34" s="308">
        <f t="shared" si="4"/>
        <v>4658.17</v>
      </c>
      <c r="K34" s="568">
        <f t="shared" si="1"/>
        <v>1.1999999999999999E-3</v>
      </c>
      <c r="L34" s="692">
        <f t="shared" si="3"/>
        <v>0.99419999999999997</v>
      </c>
      <c r="M34" s="570" t="str">
        <f t="shared" si="2"/>
        <v>C</v>
      </c>
      <c r="N34" s="305"/>
      <c r="O34" s="305"/>
      <c r="P34" s="305"/>
      <c r="Q34" s="305"/>
      <c r="R34" s="305"/>
      <c r="S34" s="305"/>
      <c r="T34" s="305"/>
      <c r="U34" s="305"/>
      <c r="V34" s="305"/>
      <c r="W34" s="305"/>
      <c r="X34" s="305"/>
      <c r="Y34" s="305"/>
      <c r="Z34" s="305"/>
      <c r="AA34" s="305"/>
      <c r="AB34" s="305"/>
      <c r="AC34" s="305"/>
    </row>
    <row r="35" spans="1:29" ht="25.5" x14ac:dyDescent="0.25">
      <c r="A35" s="50" t="s">
        <v>692</v>
      </c>
      <c r="B35" s="40">
        <v>97913</v>
      </c>
      <c r="C35" s="18" t="s">
        <v>10</v>
      </c>
      <c r="D35" s="562" t="s">
        <v>54</v>
      </c>
      <c r="E35" s="40" t="s">
        <v>55</v>
      </c>
      <c r="F35" s="306">
        <v>1466.97</v>
      </c>
      <c r="G35" s="18">
        <v>2.2799999999999998</v>
      </c>
      <c r="H35" s="308">
        <v>0.49</v>
      </c>
      <c r="I35" s="308">
        <v>2.77</v>
      </c>
      <c r="J35" s="308">
        <f t="shared" si="4"/>
        <v>4063.51</v>
      </c>
      <c r="K35" s="568">
        <f t="shared" si="1"/>
        <v>1.1000000000000001E-3</v>
      </c>
      <c r="L35" s="692">
        <f t="shared" si="3"/>
        <v>0.99529999999999996</v>
      </c>
      <c r="M35" s="570" t="str">
        <f t="shared" si="2"/>
        <v>C</v>
      </c>
      <c r="N35" s="305"/>
      <c r="O35" s="305"/>
      <c r="P35" s="305"/>
      <c r="Q35" s="305"/>
      <c r="R35" s="305"/>
      <c r="S35" s="305"/>
      <c r="T35" s="305"/>
      <c r="U35" s="305"/>
      <c r="V35" s="305"/>
      <c r="W35" s="305"/>
      <c r="X35" s="305"/>
      <c r="Y35" s="305"/>
      <c r="Z35" s="305"/>
      <c r="AA35" s="305"/>
      <c r="AB35" s="305"/>
      <c r="AC35" s="305"/>
    </row>
    <row r="36" spans="1:29" ht="51" x14ac:dyDescent="0.25">
      <c r="A36" s="50" t="s">
        <v>694</v>
      </c>
      <c r="B36" s="50">
        <v>99290</v>
      </c>
      <c r="C36" s="738" t="s">
        <v>10</v>
      </c>
      <c r="D36" s="39" t="s">
        <v>56</v>
      </c>
      <c r="E36" s="50" t="s">
        <v>57</v>
      </c>
      <c r="F36" s="251">
        <v>1</v>
      </c>
      <c r="G36" s="50">
        <v>3223.99</v>
      </c>
      <c r="H36" s="308">
        <v>688.32</v>
      </c>
      <c r="I36" s="308">
        <v>3912.31</v>
      </c>
      <c r="J36" s="308">
        <f t="shared" si="4"/>
        <v>3912.31</v>
      </c>
      <c r="K36" s="568">
        <f t="shared" si="1"/>
        <v>1E-3</v>
      </c>
      <c r="L36" s="692">
        <f t="shared" si="3"/>
        <v>0.99629999999999996</v>
      </c>
      <c r="M36" s="570" t="str">
        <f t="shared" si="2"/>
        <v>C</v>
      </c>
      <c r="N36" s="305"/>
      <c r="O36" s="305"/>
      <c r="P36" s="305"/>
      <c r="Q36" s="305"/>
      <c r="R36" s="305"/>
      <c r="S36" s="305"/>
      <c r="T36" s="305"/>
      <c r="U36" s="305"/>
      <c r="V36" s="305"/>
      <c r="W36" s="305"/>
      <c r="X36" s="305"/>
      <c r="Y36" s="305"/>
      <c r="Z36" s="305"/>
      <c r="AA36" s="305"/>
      <c r="AB36" s="305"/>
      <c r="AC36" s="305"/>
    </row>
    <row r="37" spans="1:29" ht="38.25" x14ac:dyDescent="0.25">
      <c r="A37" s="9" t="s">
        <v>440</v>
      </c>
      <c r="B37" s="319" t="s">
        <v>738</v>
      </c>
      <c r="C37" s="319"/>
      <c r="D37" s="314" t="s">
        <v>443</v>
      </c>
      <c r="E37" s="18" t="s">
        <v>57</v>
      </c>
      <c r="F37" s="306">
        <v>1</v>
      </c>
      <c r="G37" s="307">
        <v>3071.95</v>
      </c>
      <c r="H37" s="308">
        <v>655.86</v>
      </c>
      <c r="I37" s="308">
        <v>3727.81</v>
      </c>
      <c r="J37" s="308">
        <f t="shared" si="4"/>
        <v>3727.81</v>
      </c>
      <c r="K37" s="568">
        <f t="shared" si="1"/>
        <v>1E-3</v>
      </c>
      <c r="L37" s="692">
        <f t="shared" si="3"/>
        <v>0.99729999999999996</v>
      </c>
      <c r="M37" s="570" t="str">
        <f t="shared" si="2"/>
        <v>C</v>
      </c>
      <c r="N37" s="305"/>
      <c r="O37" s="305"/>
      <c r="P37" s="305"/>
      <c r="Q37" s="305"/>
      <c r="R37" s="305"/>
      <c r="S37" s="305"/>
      <c r="T37" s="305"/>
      <c r="U37" s="305"/>
      <c r="V37" s="305"/>
      <c r="W37" s="305"/>
      <c r="X37" s="305"/>
      <c r="Y37" s="305"/>
      <c r="Z37" s="305"/>
      <c r="AA37" s="305"/>
      <c r="AB37" s="305"/>
      <c r="AC37" s="305"/>
    </row>
    <row r="38" spans="1:29" x14ac:dyDescent="0.25">
      <c r="A38" s="50" t="s">
        <v>72</v>
      </c>
      <c r="B38" s="9">
        <v>99064</v>
      </c>
      <c r="C38" s="42" t="s">
        <v>10</v>
      </c>
      <c r="D38" s="41" t="s">
        <v>41</v>
      </c>
      <c r="E38" s="9" t="s">
        <v>42</v>
      </c>
      <c r="F38" s="251">
        <v>4538.58</v>
      </c>
      <c r="G38" s="50">
        <v>0.49</v>
      </c>
      <c r="H38" s="308">
        <v>0.1</v>
      </c>
      <c r="I38" s="308">
        <v>0.59</v>
      </c>
      <c r="J38" s="308">
        <f t="shared" si="4"/>
        <v>2677.76</v>
      </c>
      <c r="K38" s="568">
        <f t="shared" si="1"/>
        <v>6.9999999999999999E-4</v>
      </c>
      <c r="L38" s="692">
        <f t="shared" si="3"/>
        <v>0.998</v>
      </c>
      <c r="M38" s="570" t="str">
        <f t="shared" si="2"/>
        <v>C</v>
      </c>
      <c r="N38" s="305"/>
      <c r="O38" s="305"/>
      <c r="P38" s="305"/>
      <c r="Q38" s="305"/>
      <c r="R38" s="305"/>
      <c r="S38" s="305"/>
      <c r="T38" s="305"/>
      <c r="U38" s="305"/>
      <c r="V38" s="305"/>
      <c r="W38" s="305"/>
      <c r="X38" s="305"/>
      <c r="Y38" s="305"/>
      <c r="Z38" s="305"/>
      <c r="AA38" s="305"/>
      <c r="AB38" s="305"/>
      <c r="AC38" s="305"/>
    </row>
    <row r="39" spans="1:29" x14ac:dyDescent="0.25">
      <c r="A39" s="50" t="s">
        <v>83</v>
      </c>
      <c r="B39" s="50">
        <v>99063</v>
      </c>
      <c r="C39" s="50" t="s">
        <v>10</v>
      </c>
      <c r="D39" s="36" t="s">
        <v>48</v>
      </c>
      <c r="E39" s="50" t="s">
        <v>42</v>
      </c>
      <c r="F39" s="251">
        <v>542.01</v>
      </c>
      <c r="G39" s="9">
        <v>4.01</v>
      </c>
      <c r="H39" s="308">
        <v>0.86</v>
      </c>
      <c r="I39" s="308">
        <v>4.87</v>
      </c>
      <c r="J39" s="308">
        <f t="shared" si="4"/>
        <v>2639.59</v>
      </c>
      <c r="K39" s="568">
        <f t="shared" si="1"/>
        <v>6.9999999999999999E-4</v>
      </c>
      <c r="L39" s="692">
        <f t="shared" si="3"/>
        <v>0.99870000000000003</v>
      </c>
      <c r="M39" s="570" t="str">
        <f t="shared" si="2"/>
        <v>C</v>
      </c>
      <c r="N39" s="305"/>
      <c r="O39" s="305"/>
      <c r="P39" s="305"/>
      <c r="Q39" s="305"/>
      <c r="R39" s="305"/>
      <c r="S39" s="305"/>
      <c r="T39" s="305"/>
      <c r="U39" s="305"/>
      <c r="V39" s="305"/>
      <c r="W39" s="305"/>
      <c r="X39" s="305"/>
      <c r="Y39" s="305"/>
      <c r="Z39" s="305"/>
      <c r="AA39" s="305"/>
      <c r="AB39" s="305"/>
      <c r="AC39" s="305"/>
    </row>
    <row r="40" spans="1:29" ht="25.5" x14ac:dyDescent="0.25">
      <c r="A40" s="9" t="s">
        <v>27</v>
      </c>
      <c r="B40" s="319" t="s">
        <v>586</v>
      </c>
      <c r="C40" s="319"/>
      <c r="D40" s="41" t="s">
        <v>29</v>
      </c>
      <c r="E40" s="9" t="s">
        <v>30</v>
      </c>
      <c r="F40" s="251">
        <v>6</v>
      </c>
      <c r="G40" s="61">
        <v>321.82</v>
      </c>
      <c r="H40" s="255">
        <v>68.709999999999994</v>
      </c>
      <c r="I40" s="508">
        <v>390.53</v>
      </c>
      <c r="J40" s="508">
        <f t="shared" si="4"/>
        <v>2343.1799999999998</v>
      </c>
      <c r="K40" s="568">
        <f t="shared" si="1"/>
        <v>5.9999999999999995E-4</v>
      </c>
      <c r="L40" s="692">
        <f t="shared" si="3"/>
        <v>0.99929999999999997</v>
      </c>
      <c r="M40" s="570" t="str">
        <f t="shared" si="2"/>
        <v>C</v>
      </c>
      <c r="N40" s="305"/>
      <c r="O40" s="305"/>
      <c r="P40" s="305"/>
      <c r="Q40" s="305"/>
      <c r="R40" s="305"/>
      <c r="S40" s="305"/>
      <c r="T40" s="305"/>
      <c r="U40" s="305"/>
      <c r="V40" s="305"/>
      <c r="W40" s="305"/>
      <c r="X40" s="305"/>
      <c r="Y40" s="305"/>
      <c r="Z40" s="305"/>
      <c r="AA40" s="305"/>
      <c r="AB40" s="305"/>
      <c r="AC40" s="305"/>
    </row>
    <row r="41" spans="1:29" ht="51" x14ac:dyDescent="0.25">
      <c r="A41" s="50" t="s">
        <v>295</v>
      </c>
      <c r="B41" s="18">
        <v>100973</v>
      </c>
      <c r="C41" s="18" t="s">
        <v>10</v>
      </c>
      <c r="D41" s="11" t="s">
        <v>45</v>
      </c>
      <c r="E41" s="18" t="s">
        <v>34</v>
      </c>
      <c r="F41" s="267">
        <v>246.97</v>
      </c>
      <c r="G41" s="18">
        <v>6.43</v>
      </c>
      <c r="H41" s="308">
        <v>1.37</v>
      </c>
      <c r="I41" s="308">
        <v>7.8</v>
      </c>
      <c r="J41" s="308">
        <f t="shared" si="4"/>
        <v>1926.37</v>
      </c>
      <c r="K41" s="568">
        <f t="shared" si="1"/>
        <v>5.0000000000000001E-4</v>
      </c>
      <c r="L41" s="692">
        <f t="shared" si="3"/>
        <v>0.99980000000000002</v>
      </c>
      <c r="M41" s="570" t="str">
        <f t="shared" si="2"/>
        <v>C</v>
      </c>
      <c r="N41" s="305"/>
      <c r="O41" s="305"/>
      <c r="P41" s="305"/>
      <c r="Q41" s="305"/>
      <c r="R41" s="305"/>
      <c r="S41" s="305"/>
      <c r="T41" s="305"/>
      <c r="U41" s="305"/>
      <c r="V41" s="305"/>
      <c r="W41" s="305"/>
      <c r="X41" s="305"/>
      <c r="Y41" s="305"/>
      <c r="Z41" s="305"/>
      <c r="AA41" s="305"/>
      <c r="AB41" s="305"/>
      <c r="AC41" s="305"/>
    </row>
    <row r="42" spans="1:29" ht="25.5" x14ac:dyDescent="0.25">
      <c r="A42" s="9" t="s">
        <v>583</v>
      </c>
      <c r="B42" s="422" t="s">
        <v>584</v>
      </c>
      <c r="C42" s="106" t="s">
        <v>10</v>
      </c>
      <c r="D42" s="56" t="s">
        <v>585</v>
      </c>
      <c r="E42" s="18" t="s">
        <v>34</v>
      </c>
      <c r="F42" s="306">
        <v>1.76</v>
      </c>
      <c r="G42" s="307">
        <v>340.03</v>
      </c>
      <c r="H42" s="308">
        <v>72.599999999999994</v>
      </c>
      <c r="I42" s="308">
        <v>412.63</v>
      </c>
      <c r="J42" s="308">
        <f t="shared" si="4"/>
        <v>726.23</v>
      </c>
      <c r="K42" s="568">
        <f t="shared" si="1"/>
        <v>2.0000000000000001E-4</v>
      </c>
      <c r="L42" s="692">
        <f t="shared" si="3"/>
        <v>1</v>
      </c>
      <c r="M42" s="570" t="str">
        <f t="shared" si="2"/>
        <v>C</v>
      </c>
      <c r="N42" s="305"/>
      <c r="O42" s="305"/>
      <c r="P42" s="305"/>
      <c r="Q42" s="305"/>
      <c r="R42" s="305"/>
      <c r="S42" s="305"/>
      <c r="T42" s="305"/>
      <c r="U42" s="305"/>
      <c r="V42" s="305"/>
      <c r="W42" s="305"/>
      <c r="X42" s="305"/>
      <c r="Y42" s="305"/>
      <c r="Z42" s="305"/>
      <c r="AA42" s="305"/>
      <c r="AB42" s="305"/>
      <c r="AC42" s="305"/>
    </row>
    <row r="43" spans="1:29" ht="25.5" x14ac:dyDescent="0.25">
      <c r="A43" s="9" t="s">
        <v>580</v>
      </c>
      <c r="B43" s="422" t="s">
        <v>581</v>
      </c>
      <c r="C43" s="106" t="s">
        <v>10</v>
      </c>
      <c r="D43" s="56" t="s">
        <v>582</v>
      </c>
      <c r="E43" s="18" t="s">
        <v>34</v>
      </c>
      <c r="F43" s="306">
        <v>1.76</v>
      </c>
      <c r="G43" s="307">
        <v>58.7</v>
      </c>
      <c r="H43" s="309">
        <v>12.53</v>
      </c>
      <c r="I43" s="308">
        <v>71.23</v>
      </c>
      <c r="J43" s="309">
        <f t="shared" si="4"/>
        <v>125.36</v>
      </c>
      <c r="K43" s="752">
        <f t="shared" si="1"/>
        <v>3.0000000000000001E-5</v>
      </c>
      <c r="L43" s="692">
        <f t="shared" si="3"/>
        <v>1</v>
      </c>
      <c r="M43" s="570" t="str">
        <f t="shared" si="2"/>
        <v>C</v>
      </c>
      <c r="N43" s="305"/>
      <c r="O43" s="305"/>
      <c r="P43" s="305"/>
      <c r="Q43" s="305"/>
      <c r="R43" s="305"/>
      <c r="S43" s="305"/>
      <c r="T43" s="305"/>
      <c r="U43" s="305"/>
      <c r="V43" s="305"/>
      <c r="W43" s="305"/>
      <c r="X43" s="305"/>
      <c r="Y43" s="305"/>
      <c r="Z43" s="305"/>
      <c r="AA43" s="305"/>
      <c r="AB43" s="305"/>
      <c r="AC43" s="305"/>
    </row>
    <row r="44" spans="1:29" x14ac:dyDescent="0.25">
      <c r="A44" s="875"/>
      <c r="B44" s="875"/>
      <c r="C44" s="875"/>
      <c r="D44" s="875"/>
      <c r="E44" s="875"/>
      <c r="F44" s="875"/>
      <c r="G44" s="875"/>
      <c r="H44" s="874" t="s">
        <v>837</v>
      </c>
      <c r="I44" s="874"/>
      <c r="J44" s="758">
        <f>SUM(J10:J43)</f>
        <v>3805569.25</v>
      </c>
      <c r="K44" s="757"/>
      <c r="L44" s="757"/>
      <c r="M44" s="757"/>
      <c r="N44" s="305"/>
      <c r="O44" s="305"/>
      <c r="P44" s="305"/>
      <c r="Q44" s="305"/>
      <c r="R44" s="305"/>
      <c r="S44" s="305"/>
      <c r="T44" s="305"/>
      <c r="U44" s="305"/>
      <c r="V44" s="305"/>
      <c r="W44" s="305"/>
      <c r="X44" s="305"/>
      <c r="Y44" s="305"/>
      <c r="Z44" s="305"/>
      <c r="AA44" s="305"/>
      <c r="AB44" s="305"/>
      <c r="AC44" s="305"/>
    </row>
    <row r="45" spans="1:29" x14ac:dyDescent="0.25">
      <c r="N45" s="305"/>
      <c r="O45" s="305"/>
      <c r="P45" s="305"/>
      <c r="Q45" s="305"/>
      <c r="R45" s="305"/>
      <c r="S45" s="305"/>
      <c r="T45" s="305"/>
      <c r="U45" s="305"/>
      <c r="V45" s="305"/>
      <c r="W45" s="305"/>
      <c r="X45" s="305"/>
      <c r="Y45" s="305"/>
      <c r="Z45" s="305"/>
      <c r="AA45" s="305"/>
      <c r="AB45" s="305"/>
      <c r="AC45" s="305"/>
    </row>
    <row r="46" spans="1:29" x14ac:dyDescent="0.25">
      <c r="I46" s="860" t="s">
        <v>301</v>
      </c>
      <c r="J46" s="861"/>
      <c r="K46" s="861"/>
      <c r="L46" s="862"/>
      <c r="N46" s="305"/>
      <c r="O46" s="305"/>
      <c r="P46" s="305"/>
      <c r="Q46" s="305"/>
      <c r="R46" s="305"/>
      <c r="S46" s="305"/>
      <c r="T46" s="305"/>
      <c r="U46" s="305"/>
      <c r="V46" s="305"/>
      <c r="W46" s="305"/>
      <c r="X46" s="305"/>
      <c r="Y46" s="305"/>
      <c r="Z46" s="305"/>
      <c r="AA46" s="305"/>
      <c r="AB46" s="305"/>
      <c r="AC46" s="305"/>
    </row>
    <row r="47" spans="1:29" ht="25.5" x14ac:dyDescent="0.25">
      <c r="I47" s="276" t="s">
        <v>302</v>
      </c>
      <c r="J47" s="276" t="s">
        <v>303</v>
      </c>
      <c r="K47" s="277" t="s">
        <v>304</v>
      </c>
      <c r="L47" s="277" t="s">
        <v>305</v>
      </c>
      <c r="N47" s="305"/>
      <c r="O47" s="305"/>
      <c r="P47" s="305"/>
      <c r="Q47" s="305"/>
      <c r="R47" s="305"/>
      <c r="S47" s="305"/>
      <c r="T47" s="305"/>
      <c r="U47" s="305"/>
      <c r="V47" s="305"/>
      <c r="W47" s="305"/>
      <c r="X47" s="305"/>
      <c r="Y47" s="305"/>
      <c r="Z47" s="305"/>
      <c r="AA47" s="305"/>
      <c r="AB47" s="305"/>
      <c r="AC47" s="305"/>
    </row>
    <row r="48" spans="1:29" x14ac:dyDescent="0.25">
      <c r="I48" s="278" t="s">
        <v>306</v>
      </c>
      <c r="J48" s="279">
        <v>0.8</v>
      </c>
      <c r="K48" s="280">
        <f>COUNTIF($M$11:$M$43,I48)/COUNTA($M$10:$M$43)</f>
        <v>2.9000000000000001E-2</v>
      </c>
      <c r="L48" s="280">
        <f>SUMIF($M$9:$M$43,I48,$K$9:$K$43)</f>
        <v>0.75800000000000001</v>
      </c>
      <c r="N48" s="305"/>
      <c r="O48" s="305"/>
      <c r="P48" s="305"/>
      <c r="Q48" s="305"/>
      <c r="R48" s="305"/>
      <c r="S48" s="305"/>
      <c r="T48" s="305"/>
      <c r="U48" s="305"/>
      <c r="V48" s="305"/>
      <c r="W48" s="305"/>
      <c r="X48" s="305"/>
      <c r="Y48" s="305"/>
      <c r="Z48" s="305"/>
      <c r="AA48" s="305"/>
      <c r="AB48" s="305"/>
      <c r="AC48" s="305"/>
    </row>
    <row r="49" spans="9:29" x14ac:dyDescent="0.25">
      <c r="I49" s="278" t="s">
        <v>307</v>
      </c>
      <c r="J49" s="279">
        <v>0.95</v>
      </c>
      <c r="K49" s="280">
        <f t="shared" ref="K49:K50" si="5">COUNTIF($M$11:$M$43,I49)/COUNTA($M$10:$M$43)</f>
        <v>0.23499999999999999</v>
      </c>
      <c r="L49" s="280">
        <f t="shared" ref="L49:L50" si="6">SUMIF($M$9:$M$43,I49,$K$9:$K$43)</f>
        <v>0.185</v>
      </c>
      <c r="N49" s="305"/>
      <c r="O49" s="305"/>
      <c r="P49" s="305"/>
      <c r="Q49" s="305"/>
      <c r="R49" s="305"/>
      <c r="S49" s="305"/>
      <c r="T49" s="305"/>
      <c r="U49" s="305"/>
      <c r="V49" s="305"/>
      <c r="W49" s="305"/>
      <c r="X49" s="305"/>
      <c r="Y49" s="305"/>
      <c r="Z49" s="305"/>
      <c r="AA49" s="305"/>
      <c r="AB49" s="305"/>
      <c r="AC49" s="305"/>
    </row>
    <row r="50" spans="9:29" x14ac:dyDescent="0.25">
      <c r="I50" s="278" t="s">
        <v>308</v>
      </c>
      <c r="J50" s="279">
        <v>1</v>
      </c>
      <c r="K50" s="280">
        <f t="shared" si="5"/>
        <v>0.70599999999999996</v>
      </c>
      <c r="L50" s="280">
        <f t="shared" si="6"/>
        <v>5.7000000000000002E-2</v>
      </c>
      <c r="N50" s="305"/>
      <c r="O50" s="305"/>
      <c r="P50" s="305"/>
      <c r="Q50" s="305"/>
      <c r="R50" s="305"/>
      <c r="S50" s="305"/>
      <c r="T50" s="305"/>
      <c r="U50" s="305"/>
      <c r="V50" s="305"/>
      <c r="W50" s="305"/>
      <c r="X50" s="305"/>
      <c r="Y50" s="305"/>
      <c r="Z50" s="305"/>
      <c r="AA50" s="305"/>
      <c r="AB50" s="305"/>
      <c r="AC50" s="305"/>
    </row>
    <row r="51" spans="9:29" x14ac:dyDescent="0.25">
      <c r="N51" s="305"/>
      <c r="O51" s="305"/>
      <c r="P51" s="305"/>
      <c r="Q51" s="305"/>
      <c r="R51" s="305"/>
      <c r="S51" s="305"/>
      <c r="T51" s="305"/>
      <c r="U51" s="305"/>
      <c r="V51" s="305"/>
      <c r="W51" s="305"/>
      <c r="X51" s="305"/>
      <c r="Y51" s="305"/>
      <c r="Z51" s="305"/>
      <c r="AA51" s="305"/>
      <c r="AB51" s="305"/>
      <c r="AC51" s="305"/>
    </row>
    <row r="52" spans="9:29" x14ac:dyDescent="0.25">
      <c r="N52" s="305"/>
      <c r="O52" s="305"/>
      <c r="P52" s="305"/>
      <c r="Q52" s="305"/>
      <c r="R52" s="305"/>
      <c r="S52" s="305"/>
      <c r="T52" s="305"/>
      <c r="U52" s="305"/>
      <c r="V52" s="305"/>
      <c r="W52" s="305"/>
      <c r="X52" s="305"/>
      <c r="Y52" s="305"/>
      <c r="Z52" s="305"/>
      <c r="AA52" s="305"/>
      <c r="AB52" s="305"/>
      <c r="AC52" s="305"/>
    </row>
    <row r="53" spans="9:29" x14ac:dyDescent="0.25">
      <c r="N53" s="305"/>
      <c r="O53" s="305"/>
      <c r="P53" s="305"/>
      <c r="Q53" s="305"/>
      <c r="R53" s="305"/>
      <c r="S53" s="305"/>
      <c r="T53" s="305"/>
      <c r="U53" s="305"/>
      <c r="V53" s="305"/>
      <c r="W53" s="305"/>
      <c r="X53" s="305"/>
      <c r="Y53" s="305"/>
      <c r="Z53" s="305"/>
      <c r="AA53" s="305"/>
      <c r="AB53" s="305"/>
      <c r="AC53" s="305"/>
    </row>
    <row r="54" spans="9:29" x14ac:dyDescent="0.25">
      <c r="N54" s="305"/>
      <c r="O54" s="305"/>
      <c r="P54" s="305"/>
      <c r="Q54" s="305"/>
      <c r="R54" s="305"/>
      <c r="S54" s="305"/>
      <c r="T54" s="305"/>
      <c r="U54" s="305"/>
      <c r="V54" s="305"/>
      <c r="W54" s="305"/>
      <c r="X54" s="305"/>
      <c r="Y54" s="305"/>
      <c r="Z54" s="305"/>
      <c r="AA54" s="305"/>
      <c r="AB54" s="305"/>
      <c r="AC54" s="305"/>
    </row>
    <row r="55" spans="9:29" x14ac:dyDescent="0.25">
      <c r="N55" s="305"/>
      <c r="O55" s="305"/>
      <c r="P55" s="305"/>
      <c r="Q55" s="305"/>
      <c r="R55" s="305"/>
      <c r="S55" s="305"/>
      <c r="T55" s="305"/>
      <c r="U55" s="305"/>
      <c r="V55" s="305"/>
      <c r="W55" s="305"/>
      <c r="X55" s="305"/>
      <c r="Y55" s="305"/>
      <c r="Z55" s="305"/>
      <c r="AA55" s="305"/>
      <c r="AB55" s="305"/>
      <c r="AC55" s="305"/>
    </row>
    <row r="56" spans="9:29" x14ac:dyDescent="0.25">
      <c r="N56" s="305"/>
      <c r="O56" s="305"/>
      <c r="P56" s="305"/>
      <c r="Q56" s="305"/>
      <c r="R56" s="305"/>
      <c r="S56" s="305"/>
      <c r="T56" s="305"/>
      <c r="U56" s="305"/>
      <c r="V56" s="305"/>
      <c r="W56" s="305"/>
      <c r="X56" s="305"/>
      <c r="Y56" s="305"/>
      <c r="Z56" s="305"/>
      <c r="AA56" s="305"/>
      <c r="AB56" s="305"/>
      <c r="AC56" s="305"/>
    </row>
    <row r="57" spans="9:29" x14ac:dyDescent="0.25">
      <c r="N57" s="305"/>
      <c r="O57" s="305"/>
      <c r="P57" s="305"/>
      <c r="Q57" s="305"/>
      <c r="R57" s="305"/>
      <c r="S57" s="305"/>
      <c r="T57" s="305"/>
      <c r="U57" s="305"/>
      <c r="V57" s="305"/>
      <c r="W57" s="305"/>
      <c r="X57" s="305"/>
      <c r="Y57" s="305"/>
      <c r="Z57" s="305"/>
      <c r="AA57" s="305"/>
      <c r="AB57" s="305"/>
      <c r="AC57" s="305"/>
    </row>
    <row r="58" spans="9:29" x14ac:dyDescent="0.25">
      <c r="N58" s="305"/>
      <c r="O58" s="305"/>
      <c r="P58" s="305"/>
      <c r="Q58" s="305"/>
      <c r="R58" s="305"/>
      <c r="S58" s="305"/>
      <c r="T58" s="305"/>
      <c r="U58" s="305"/>
      <c r="V58" s="305"/>
      <c r="W58" s="305"/>
      <c r="X58" s="305"/>
      <c r="Y58" s="305"/>
      <c r="Z58" s="305"/>
      <c r="AA58" s="305"/>
      <c r="AB58" s="305"/>
      <c r="AC58" s="305"/>
    </row>
    <row r="59" spans="9:29" x14ac:dyDescent="0.25">
      <c r="N59" s="305"/>
      <c r="O59" s="305"/>
      <c r="P59" s="305"/>
      <c r="Q59" s="305"/>
      <c r="R59" s="305"/>
      <c r="S59" s="305"/>
      <c r="T59" s="305"/>
      <c r="U59" s="305"/>
      <c r="V59" s="305"/>
      <c r="W59" s="305"/>
      <c r="X59" s="305"/>
      <c r="Y59" s="305"/>
      <c r="Z59" s="305"/>
      <c r="AA59" s="305"/>
      <c r="AB59" s="305"/>
      <c r="AC59" s="305"/>
    </row>
    <row r="60" spans="9:29" x14ac:dyDescent="0.25">
      <c r="N60" s="305"/>
      <c r="O60" s="305"/>
      <c r="P60" s="305"/>
      <c r="Q60" s="305"/>
      <c r="R60" s="305"/>
      <c r="S60" s="305"/>
      <c r="T60" s="305"/>
      <c r="U60" s="305"/>
      <c r="V60" s="305"/>
      <c r="W60" s="305"/>
      <c r="X60" s="305"/>
      <c r="Y60" s="305"/>
      <c r="Z60" s="305"/>
      <c r="AA60" s="305"/>
      <c r="AB60" s="305"/>
      <c r="AC60" s="305"/>
    </row>
    <row r="61" spans="9:29" x14ac:dyDescent="0.25">
      <c r="N61" s="305"/>
      <c r="O61" s="305"/>
      <c r="P61" s="305"/>
      <c r="Q61" s="305"/>
      <c r="R61" s="305"/>
      <c r="S61" s="305"/>
      <c r="T61" s="305"/>
      <c r="U61" s="305"/>
      <c r="V61" s="305"/>
      <c r="W61" s="305"/>
      <c r="X61" s="305"/>
      <c r="Y61" s="305"/>
      <c r="Z61" s="305"/>
      <c r="AA61" s="305"/>
      <c r="AB61" s="305"/>
      <c r="AC61" s="305"/>
    </row>
    <row r="62" spans="9:29" x14ac:dyDescent="0.25">
      <c r="N62" s="305"/>
      <c r="O62" s="305"/>
      <c r="P62" s="305"/>
      <c r="Q62" s="305"/>
      <c r="R62" s="305"/>
      <c r="S62" s="305"/>
      <c r="T62" s="305"/>
      <c r="U62" s="305"/>
      <c r="V62" s="305"/>
      <c r="W62" s="305"/>
      <c r="X62" s="305"/>
      <c r="Y62" s="305"/>
      <c r="Z62" s="305"/>
      <c r="AA62" s="305"/>
      <c r="AB62" s="305"/>
      <c r="AC62" s="305"/>
    </row>
    <row r="63" spans="9:29" x14ac:dyDescent="0.25">
      <c r="N63" s="305"/>
      <c r="O63" s="305"/>
      <c r="P63" s="305"/>
      <c r="Q63" s="305"/>
      <c r="R63" s="305"/>
      <c r="S63" s="305"/>
      <c r="T63" s="305"/>
      <c r="U63" s="305"/>
      <c r="V63" s="305"/>
      <c r="W63" s="305"/>
      <c r="X63" s="305"/>
      <c r="Y63" s="305"/>
      <c r="Z63" s="305"/>
      <c r="AA63" s="305"/>
      <c r="AB63" s="305"/>
      <c r="AC63" s="305"/>
    </row>
    <row r="64" spans="9:29" x14ac:dyDescent="0.25">
      <c r="N64" s="305"/>
      <c r="O64" s="305"/>
      <c r="P64" s="305"/>
      <c r="Q64" s="305"/>
      <c r="R64" s="305"/>
      <c r="S64" s="305"/>
      <c r="T64" s="305"/>
      <c r="U64" s="305"/>
      <c r="V64" s="305"/>
      <c r="W64" s="305"/>
      <c r="X64" s="305"/>
      <c r="Y64" s="305"/>
      <c r="Z64" s="305"/>
      <c r="AA64" s="305"/>
      <c r="AB64" s="305"/>
      <c r="AC64" s="305"/>
    </row>
    <row r="65" spans="14:29" x14ac:dyDescent="0.25">
      <c r="N65" s="305"/>
      <c r="O65" s="305"/>
      <c r="P65" s="305"/>
      <c r="Q65" s="305"/>
      <c r="R65" s="305"/>
      <c r="S65" s="305"/>
      <c r="T65" s="305"/>
      <c r="U65" s="305"/>
      <c r="V65" s="305"/>
      <c r="W65" s="305"/>
      <c r="X65" s="305"/>
      <c r="Y65" s="305"/>
      <c r="Z65" s="305"/>
      <c r="AA65" s="305"/>
      <c r="AB65" s="305"/>
      <c r="AC65" s="305"/>
    </row>
    <row r="66" spans="14:29" x14ac:dyDescent="0.25">
      <c r="N66" s="305"/>
      <c r="O66" s="305"/>
      <c r="P66" s="305"/>
      <c r="Q66" s="305"/>
      <c r="R66" s="305"/>
      <c r="S66" s="305"/>
      <c r="T66" s="305"/>
      <c r="U66" s="305"/>
      <c r="V66" s="305"/>
      <c r="W66" s="305"/>
      <c r="X66" s="305"/>
      <c r="Y66" s="305"/>
      <c r="Z66" s="305"/>
      <c r="AA66" s="305"/>
      <c r="AB66" s="305"/>
      <c r="AC66" s="305"/>
    </row>
    <row r="67" spans="14:29" x14ac:dyDescent="0.25">
      <c r="N67" s="305"/>
      <c r="O67" s="305"/>
      <c r="P67" s="305"/>
      <c r="Q67" s="305"/>
      <c r="R67" s="305"/>
      <c r="S67" s="305"/>
      <c r="T67" s="305"/>
      <c r="U67" s="305"/>
      <c r="V67" s="305"/>
      <c r="W67" s="305"/>
      <c r="X67" s="305"/>
      <c r="Y67" s="305"/>
      <c r="Z67" s="305"/>
      <c r="AA67" s="305"/>
      <c r="AB67" s="305"/>
      <c r="AC67" s="305"/>
    </row>
    <row r="68" spans="14:29" x14ac:dyDescent="0.25">
      <c r="N68" s="305"/>
      <c r="O68" s="305"/>
      <c r="P68" s="305"/>
      <c r="Q68" s="305"/>
      <c r="R68" s="305"/>
      <c r="S68" s="305"/>
      <c r="T68" s="305"/>
      <c r="U68" s="305"/>
      <c r="V68" s="305"/>
      <c r="W68" s="305"/>
      <c r="X68" s="305"/>
      <c r="Y68" s="305"/>
      <c r="Z68" s="305"/>
      <c r="AA68" s="305"/>
      <c r="AB68" s="305"/>
      <c r="AC68" s="305"/>
    </row>
    <row r="69" spans="14:29" x14ac:dyDescent="0.25">
      <c r="N69" s="305"/>
      <c r="O69" s="305"/>
      <c r="P69" s="305"/>
      <c r="Q69" s="305"/>
      <c r="R69" s="305"/>
      <c r="S69" s="305"/>
      <c r="T69" s="305"/>
      <c r="U69" s="305"/>
      <c r="V69" s="305"/>
      <c r="W69" s="305"/>
      <c r="X69" s="305"/>
      <c r="Y69" s="305"/>
      <c r="Z69" s="305"/>
      <c r="AA69" s="305"/>
      <c r="AB69" s="305"/>
      <c r="AC69" s="305"/>
    </row>
    <row r="70" spans="14:29" x14ac:dyDescent="0.25">
      <c r="N70" s="305"/>
      <c r="O70" s="305"/>
      <c r="P70" s="305"/>
      <c r="Q70" s="305"/>
      <c r="R70" s="305"/>
      <c r="S70" s="305"/>
      <c r="T70" s="305"/>
      <c r="U70" s="305"/>
      <c r="V70" s="305"/>
      <c r="W70" s="305"/>
      <c r="X70" s="305"/>
      <c r="Y70" s="305"/>
      <c r="Z70" s="305"/>
      <c r="AA70" s="305"/>
      <c r="AB70" s="305"/>
      <c r="AC70" s="305"/>
    </row>
    <row r="71" spans="14:29" x14ac:dyDescent="0.25">
      <c r="N71" s="305"/>
      <c r="O71" s="305"/>
      <c r="P71" s="305"/>
      <c r="Q71" s="305"/>
      <c r="R71" s="305"/>
      <c r="S71" s="305"/>
      <c r="T71" s="305"/>
      <c r="U71" s="305"/>
      <c r="V71" s="305"/>
      <c r="W71" s="305"/>
      <c r="X71" s="305"/>
      <c r="Y71" s="305"/>
      <c r="Z71" s="305"/>
      <c r="AA71" s="305"/>
      <c r="AB71" s="305"/>
      <c r="AC71" s="305"/>
    </row>
    <row r="72" spans="14:29" x14ac:dyDescent="0.25">
      <c r="N72" s="305"/>
      <c r="O72" s="305"/>
      <c r="P72" s="305"/>
      <c r="Q72" s="305"/>
      <c r="R72" s="305"/>
      <c r="S72" s="305"/>
      <c r="T72" s="305"/>
      <c r="U72" s="305"/>
      <c r="V72" s="305"/>
      <c r="W72" s="305"/>
      <c r="X72" s="305"/>
      <c r="Y72" s="305"/>
      <c r="Z72" s="305"/>
      <c r="AA72" s="305"/>
      <c r="AB72" s="305"/>
      <c r="AC72" s="305"/>
    </row>
    <row r="73" spans="14:29" x14ac:dyDescent="0.25">
      <c r="N73" s="305"/>
      <c r="O73" s="305"/>
      <c r="P73" s="305"/>
      <c r="Q73" s="305"/>
      <c r="R73" s="305"/>
      <c r="S73" s="305"/>
      <c r="T73" s="305"/>
      <c r="U73" s="305"/>
      <c r="V73" s="305"/>
      <c r="W73" s="305"/>
      <c r="X73" s="305"/>
      <c r="Y73" s="305"/>
      <c r="Z73" s="305"/>
      <c r="AA73" s="305"/>
      <c r="AB73" s="305"/>
      <c r="AC73" s="305"/>
    </row>
    <row r="74" spans="14:29" x14ac:dyDescent="0.25">
      <c r="N74" s="305"/>
      <c r="O74" s="305"/>
      <c r="P74" s="305"/>
      <c r="Q74" s="305"/>
      <c r="R74" s="305"/>
      <c r="S74" s="305"/>
      <c r="T74" s="305"/>
      <c r="U74" s="305"/>
      <c r="V74" s="305"/>
      <c r="W74" s="305"/>
      <c r="X74" s="305"/>
      <c r="Y74" s="305"/>
      <c r="Z74" s="305"/>
      <c r="AA74" s="305"/>
      <c r="AB74" s="305"/>
      <c r="AC74" s="305"/>
    </row>
    <row r="75" spans="14:29" x14ac:dyDescent="0.25">
      <c r="N75" s="305"/>
      <c r="O75" s="305"/>
      <c r="P75" s="305"/>
      <c r="Q75" s="305"/>
      <c r="R75" s="305"/>
      <c r="S75" s="305"/>
      <c r="T75" s="305"/>
      <c r="U75" s="305"/>
      <c r="V75" s="305"/>
      <c r="W75" s="305"/>
      <c r="X75" s="305"/>
      <c r="Y75" s="305"/>
      <c r="Z75" s="305"/>
      <c r="AA75" s="305"/>
      <c r="AB75" s="305"/>
      <c r="AC75" s="305"/>
    </row>
    <row r="76" spans="14:29" x14ac:dyDescent="0.25">
      <c r="N76" s="305"/>
      <c r="O76" s="305"/>
      <c r="P76" s="305"/>
      <c r="Q76" s="305"/>
      <c r="R76" s="305"/>
      <c r="S76" s="305"/>
      <c r="T76" s="305"/>
      <c r="U76" s="305"/>
      <c r="V76" s="305"/>
      <c r="W76" s="305"/>
      <c r="X76" s="305"/>
      <c r="Y76" s="305"/>
      <c r="Z76" s="305"/>
      <c r="AA76" s="305"/>
      <c r="AB76" s="305"/>
      <c r="AC76" s="305"/>
    </row>
    <row r="77" spans="14:29" x14ac:dyDescent="0.25">
      <c r="N77" s="305"/>
      <c r="O77" s="305"/>
      <c r="P77" s="305"/>
      <c r="Q77" s="305"/>
      <c r="R77" s="305"/>
      <c r="S77" s="305"/>
      <c r="T77" s="305"/>
      <c r="U77" s="305"/>
      <c r="V77" s="305"/>
      <c r="W77" s="305"/>
      <c r="X77" s="305"/>
      <c r="Y77" s="305"/>
      <c r="Z77" s="305"/>
      <c r="AA77" s="305"/>
      <c r="AB77" s="305"/>
      <c r="AC77" s="305"/>
    </row>
    <row r="78" spans="14:29" x14ac:dyDescent="0.25">
      <c r="N78" s="305"/>
      <c r="O78" s="305"/>
      <c r="P78" s="305"/>
      <c r="Q78" s="305"/>
      <c r="R78" s="305"/>
      <c r="S78" s="305"/>
      <c r="T78" s="305"/>
      <c r="U78" s="305"/>
      <c r="V78" s="305"/>
      <c r="W78" s="305"/>
      <c r="X78" s="305"/>
      <c r="Y78" s="305"/>
      <c r="Z78" s="305"/>
      <c r="AA78" s="305"/>
      <c r="AB78" s="305"/>
      <c r="AC78" s="305"/>
    </row>
    <row r="79" spans="14:29" x14ac:dyDescent="0.25">
      <c r="N79" s="305"/>
      <c r="O79" s="305"/>
      <c r="P79" s="305"/>
      <c r="Q79" s="305"/>
      <c r="R79" s="305"/>
      <c r="S79" s="305"/>
      <c r="T79" s="305"/>
      <c r="U79" s="305"/>
      <c r="V79" s="305"/>
      <c r="W79" s="305"/>
      <c r="X79" s="305"/>
      <c r="Y79" s="305"/>
      <c r="Z79" s="305"/>
      <c r="AA79" s="305"/>
      <c r="AB79" s="305"/>
      <c r="AC79" s="305"/>
    </row>
    <row r="80" spans="14:29" x14ac:dyDescent="0.25">
      <c r="N80" s="305"/>
      <c r="O80" s="305"/>
      <c r="P80" s="305"/>
      <c r="Q80" s="305"/>
      <c r="R80" s="305"/>
      <c r="S80" s="305"/>
      <c r="T80" s="305"/>
      <c r="U80" s="305"/>
      <c r="V80" s="305"/>
      <c r="W80" s="305"/>
      <c r="X80" s="305"/>
      <c r="Y80" s="305"/>
      <c r="Z80" s="305"/>
      <c r="AA80" s="305"/>
      <c r="AB80" s="305"/>
      <c r="AC80" s="305"/>
    </row>
    <row r="81" spans="14:29" x14ac:dyDescent="0.25">
      <c r="N81" s="305"/>
      <c r="O81" s="305"/>
      <c r="P81" s="305"/>
      <c r="Q81" s="305"/>
      <c r="R81" s="305"/>
      <c r="S81" s="305"/>
      <c r="T81" s="305"/>
      <c r="U81" s="305"/>
      <c r="V81" s="305"/>
      <c r="W81" s="305"/>
      <c r="X81" s="305"/>
      <c r="Y81" s="305"/>
      <c r="Z81" s="305"/>
      <c r="AA81" s="305"/>
      <c r="AB81" s="305"/>
      <c r="AC81" s="305"/>
    </row>
    <row r="82" spans="14:29" x14ac:dyDescent="0.25">
      <c r="N82" s="305"/>
      <c r="O82" s="305"/>
      <c r="P82" s="305"/>
      <c r="Q82" s="305"/>
      <c r="R82" s="305"/>
      <c r="S82" s="305"/>
      <c r="T82" s="305"/>
      <c r="U82" s="305"/>
      <c r="V82" s="305"/>
      <c r="W82" s="305"/>
      <c r="X82" s="305"/>
      <c r="Y82" s="305"/>
      <c r="Z82" s="305"/>
      <c r="AA82" s="305"/>
      <c r="AB82" s="305"/>
      <c r="AC82" s="305"/>
    </row>
    <row r="83" spans="14:29" x14ac:dyDescent="0.25">
      <c r="N83" s="305"/>
      <c r="O83" s="305"/>
      <c r="P83" s="305"/>
      <c r="Q83" s="305"/>
      <c r="R83" s="305"/>
      <c r="S83" s="305"/>
      <c r="T83" s="305"/>
      <c r="U83" s="305"/>
      <c r="V83" s="305"/>
      <c r="W83" s="305"/>
      <c r="X83" s="305"/>
      <c r="Y83" s="305"/>
      <c r="Z83" s="305"/>
      <c r="AA83" s="305"/>
      <c r="AB83" s="305"/>
      <c r="AC83" s="305"/>
    </row>
    <row r="84" spans="14:29" x14ac:dyDescent="0.25">
      <c r="N84" s="305"/>
      <c r="O84" s="305"/>
      <c r="P84" s="305"/>
      <c r="Q84" s="305"/>
      <c r="R84" s="305"/>
      <c r="S84" s="305"/>
      <c r="T84" s="305"/>
      <c r="U84" s="305"/>
      <c r="V84" s="305"/>
      <c r="W84" s="305"/>
      <c r="X84" s="305"/>
      <c r="Y84" s="305"/>
      <c r="Z84" s="305"/>
      <c r="AA84" s="305"/>
      <c r="AB84" s="305"/>
      <c r="AC84" s="305"/>
    </row>
    <row r="85" spans="14:29" x14ac:dyDescent="0.25">
      <c r="N85" s="305"/>
      <c r="O85" s="305"/>
      <c r="P85" s="305"/>
      <c r="Q85" s="305"/>
      <c r="R85" s="305"/>
      <c r="S85" s="305"/>
      <c r="T85" s="305"/>
      <c r="U85" s="305"/>
      <c r="V85" s="305"/>
      <c r="W85" s="305"/>
      <c r="X85" s="305"/>
      <c r="Y85" s="305"/>
      <c r="Z85" s="305"/>
      <c r="AA85" s="305"/>
      <c r="AB85" s="305"/>
      <c r="AC85" s="305"/>
    </row>
    <row r="86" spans="14:29" x14ac:dyDescent="0.25">
      <c r="N86" s="305"/>
      <c r="O86" s="305"/>
      <c r="P86" s="305"/>
      <c r="Q86" s="305"/>
      <c r="R86" s="305"/>
      <c r="S86" s="305"/>
      <c r="T86" s="305"/>
      <c r="U86" s="305"/>
      <c r="V86" s="305"/>
      <c r="W86" s="305"/>
      <c r="X86" s="305"/>
      <c r="Y86" s="305"/>
      <c r="Z86" s="305"/>
      <c r="AA86" s="305"/>
      <c r="AB86" s="305"/>
      <c r="AC86" s="305"/>
    </row>
    <row r="87" spans="14:29" x14ac:dyDescent="0.25">
      <c r="N87" s="305"/>
      <c r="O87" s="305"/>
      <c r="P87" s="305"/>
      <c r="Q87" s="305"/>
      <c r="R87" s="305"/>
      <c r="S87" s="305"/>
      <c r="T87" s="305"/>
      <c r="U87" s="305"/>
      <c r="V87" s="305"/>
      <c r="W87" s="305"/>
      <c r="X87" s="305"/>
      <c r="Y87" s="305"/>
      <c r="Z87" s="305"/>
      <c r="AA87" s="305"/>
      <c r="AB87" s="305"/>
      <c r="AC87" s="305"/>
    </row>
    <row r="88" spans="14:29" x14ac:dyDescent="0.25">
      <c r="N88" s="305"/>
      <c r="O88" s="305"/>
      <c r="P88" s="305"/>
      <c r="Q88" s="305"/>
      <c r="R88" s="305"/>
      <c r="S88" s="305"/>
      <c r="T88" s="305"/>
      <c r="U88" s="305"/>
      <c r="V88" s="305"/>
      <c r="W88" s="305"/>
      <c r="X88" s="305"/>
      <c r="Y88" s="305"/>
      <c r="Z88" s="305"/>
      <c r="AA88" s="305"/>
      <c r="AB88" s="305"/>
      <c r="AC88" s="305"/>
    </row>
    <row r="89" spans="14:29" x14ac:dyDescent="0.25">
      <c r="N89" s="305"/>
      <c r="O89" s="305"/>
      <c r="P89" s="305"/>
      <c r="Q89" s="305"/>
      <c r="R89" s="305"/>
      <c r="S89" s="305"/>
      <c r="T89" s="305"/>
      <c r="U89" s="305"/>
      <c r="V89" s="305"/>
      <c r="W89" s="305"/>
      <c r="X89" s="305"/>
      <c r="Y89" s="305"/>
      <c r="Z89" s="305"/>
      <c r="AA89" s="305"/>
      <c r="AB89" s="305"/>
      <c r="AC89" s="305"/>
    </row>
    <row r="90" spans="14:29" x14ac:dyDescent="0.25">
      <c r="N90" s="305"/>
      <c r="O90" s="305"/>
      <c r="P90" s="305"/>
      <c r="Q90" s="305"/>
      <c r="R90" s="305"/>
      <c r="S90" s="305"/>
      <c r="T90" s="305"/>
      <c r="U90" s="305"/>
      <c r="V90" s="305"/>
      <c r="W90" s="305"/>
      <c r="X90" s="305"/>
      <c r="Y90" s="305"/>
      <c r="Z90" s="305"/>
      <c r="AA90" s="305"/>
      <c r="AB90" s="305"/>
      <c r="AC90" s="305"/>
    </row>
    <row r="91" spans="14:29" x14ac:dyDescent="0.25">
      <c r="N91" s="305"/>
      <c r="O91" s="305"/>
      <c r="P91" s="305"/>
      <c r="Q91" s="305"/>
      <c r="R91" s="305"/>
      <c r="S91" s="305"/>
      <c r="T91" s="305"/>
      <c r="U91" s="305"/>
      <c r="V91" s="305"/>
      <c r="W91" s="305"/>
      <c r="X91" s="305"/>
      <c r="Y91" s="305"/>
      <c r="Z91" s="305"/>
      <c r="AA91" s="305"/>
      <c r="AB91" s="305"/>
      <c r="AC91" s="305"/>
    </row>
    <row r="92" spans="14:29" x14ac:dyDescent="0.25">
      <c r="N92" s="305"/>
      <c r="O92" s="305"/>
      <c r="P92" s="305"/>
      <c r="Q92" s="305"/>
      <c r="R92" s="305"/>
      <c r="S92" s="305"/>
      <c r="T92" s="305"/>
      <c r="U92" s="305"/>
      <c r="V92" s="305"/>
      <c r="W92" s="305"/>
      <c r="X92" s="305"/>
      <c r="Y92" s="305"/>
      <c r="Z92" s="305"/>
      <c r="AA92" s="305"/>
      <c r="AB92" s="305"/>
      <c r="AC92" s="305"/>
    </row>
    <row r="93" spans="14:29" x14ac:dyDescent="0.25">
      <c r="N93" s="305"/>
      <c r="O93" s="305"/>
      <c r="P93" s="305"/>
      <c r="Q93" s="305"/>
      <c r="R93" s="305"/>
      <c r="S93" s="305"/>
      <c r="T93" s="305"/>
      <c r="U93" s="305"/>
      <c r="V93" s="305"/>
      <c r="W93" s="305"/>
      <c r="X93" s="305"/>
      <c r="Y93" s="305"/>
      <c r="Z93" s="305"/>
      <c r="AA93" s="305"/>
      <c r="AB93" s="305"/>
      <c r="AC93" s="305"/>
    </row>
    <row r="94" spans="14:29" x14ac:dyDescent="0.25">
      <c r="N94" s="305"/>
      <c r="O94" s="305"/>
      <c r="P94" s="305"/>
      <c r="Q94" s="305"/>
      <c r="R94" s="305"/>
      <c r="S94" s="305"/>
      <c r="T94" s="305"/>
      <c r="U94" s="305"/>
      <c r="V94" s="305"/>
      <c r="W94" s="305"/>
      <c r="X94" s="305"/>
      <c r="Y94" s="305"/>
      <c r="Z94" s="305"/>
      <c r="AA94" s="305"/>
      <c r="AB94" s="305"/>
      <c r="AC94" s="305"/>
    </row>
    <row r="95" spans="14:29" x14ac:dyDescent="0.25">
      <c r="N95" s="305"/>
      <c r="O95" s="305"/>
      <c r="P95" s="305"/>
      <c r="Q95" s="305"/>
      <c r="R95" s="305"/>
      <c r="S95" s="305"/>
      <c r="T95" s="305"/>
      <c r="U95" s="305"/>
      <c r="V95" s="305"/>
      <c r="W95" s="305"/>
      <c r="X95" s="305"/>
      <c r="Y95" s="305"/>
      <c r="Z95" s="305"/>
      <c r="AA95" s="305"/>
      <c r="AB95" s="305"/>
      <c r="AC95" s="305"/>
    </row>
    <row r="96" spans="14:29" x14ac:dyDescent="0.25">
      <c r="N96" s="305"/>
      <c r="O96" s="305"/>
      <c r="P96" s="305"/>
      <c r="Q96" s="305"/>
      <c r="R96" s="305"/>
      <c r="S96" s="305"/>
      <c r="T96" s="305"/>
      <c r="U96" s="305"/>
      <c r="V96" s="305"/>
      <c r="W96" s="305"/>
      <c r="X96" s="305"/>
      <c r="Y96" s="305"/>
      <c r="Z96" s="305"/>
      <c r="AA96" s="305"/>
      <c r="AB96" s="305"/>
      <c r="AC96" s="305"/>
    </row>
    <row r="97" spans="14:29" x14ac:dyDescent="0.25">
      <c r="N97" s="305"/>
      <c r="O97" s="305"/>
      <c r="P97" s="305"/>
      <c r="Q97" s="305"/>
      <c r="R97" s="305"/>
      <c r="S97" s="305"/>
      <c r="T97" s="305"/>
      <c r="U97" s="305"/>
      <c r="V97" s="305"/>
      <c r="W97" s="305"/>
      <c r="X97" s="305"/>
      <c r="Y97" s="305"/>
      <c r="Z97" s="305"/>
      <c r="AA97" s="305"/>
      <c r="AB97" s="305"/>
      <c r="AC97" s="305"/>
    </row>
    <row r="98" spans="14:29" x14ac:dyDescent="0.25">
      <c r="N98" s="305"/>
      <c r="O98" s="305"/>
      <c r="P98" s="305"/>
      <c r="Q98" s="305"/>
      <c r="R98" s="305"/>
      <c r="S98" s="305"/>
      <c r="T98" s="305"/>
      <c r="U98" s="305"/>
      <c r="V98" s="305"/>
      <c r="W98" s="305"/>
      <c r="X98" s="305"/>
      <c r="Y98" s="305"/>
      <c r="Z98" s="305"/>
      <c r="AA98" s="305"/>
      <c r="AB98" s="305"/>
      <c r="AC98" s="305"/>
    </row>
    <row r="99" spans="14:29" x14ac:dyDescent="0.25">
      <c r="N99" s="305"/>
      <c r="O99" s="305"/>
      <c r="P99" s="305"/>
      <c r="Q99" s="305"/>
      <c r="R99" s="305"/>
      <c r="S99" s="305"/>
      <c r="T99" s="305"/>
      <c r="U99" s="305"/>
      <c r="V99" s="305"/>
      <c r="W99" s="305"/>
      <c r="X99" s="305"/>
      <c r="Y99" s="305"/>
      <c r="Z99" s="305"/>
      <c r="AA99" s="305"/>
      <c r="AB99" s="305"/>
      <c r="AC99" s="305"/>
    </row>
    <row r="100" spans="14:29" x14ac:dyDescent="0.25">
      <c r="N100" s="305"/>
      <c r="O100" s="305"/>
      <c r="P100" s="305"/>
      <c r="Q100" s="305"/>
      <c r="R100" s="305"/>
      <c r="S100" s="305"/>
      <c r="T100" s="305"/>
      <c r="U100" s="305"/>
      <c r="V100" s="305"/>
      <c r="W100" s="305"/>
      <c r="X100" s="305"/>
      <c r="Y100" s="305"/>
      <c r="Z100" s="305"/>
      <c r="AA100" s="305"/>
      <c r="AB100" s="305"/>
      <c r="AC100" s="305"/>
    </row>
    <row r="101" spans="14:29" x14ac:dyDescent="0.25">
      <c r="N101" s="305"/>
      <c r="O101" s="305"/>
      <c r="P101" s="305"/>
      <c r="Q101" s="305"/>
      <c r="R101" s="305"/>
      <c r="S101" s="305"/>
      <c r="T101" s="305"/>
      <c r="U101" s="305"/>
      <c r="V101" s="305"/>
      <c r="W101" s="305"/>
      <c r="X101" s="305"/>
      <c r="Y101" s="305"/>
      <c r="Z101" s="305"/>
      <c r="AA101" s="305"/>
      <c r="AB101" s="305"/>
      <c r="AC101" s="305"/>
    </row>
    <row r="102" spans="14:29" x14ac:dyDescent="0.25">
      <c r="N102" s="305"/>
      <c r="O102" s="305"/>
      <c r="P102" s="305"/>
      <c r="Q102" s="305"/>
      <c r="R102" s="305"/>
      <c r="S102" s="305"/>
      <c r="T102" s="305"/>
      <c r="U102" s="305"/>
      <c r="V102" s="305"/>
      <c r="W102" s="305"/>
      <c r="X102" s="305"/>
      <c r="Y102" s="305"/>
      <c r="Z102" s="305"/>
      <c r="AA102" s="305"/>
      <c r="AB102" s="305"/>
      <c r="AC102" s="305"/>
    </row>
    <row r="103" spans="14:29" x14ac:dyDescent="0.25">
      <c r="N103" s="305"/>
      <c r="O103" s="305"/>
      <c r="P103" s="305"/>
      <c r="Q103" s="305"/>
      <c r="R103" s="305"/>
      <c r="S103" s="305"/>
      <c r="T103" s="305"/>
      <c r="U103" s="305"/>
      <c r="V103" s="305"/>
      <c r="W103" s="305"/>
      <c r="X103" s="305"/>
      <c r="Y103" s="305"/>
      <c r="Z103" s="305"/>
      <c r="AA103" s="305"/>
      <c r="AB103" s="305"/>
      <c r="AC103" s="305"/>
    </row>
    <row r="104" spans="14:29" x14ac:dyDescent="0.25">
      <c r="N104" s="305"/>
      <c r="O104" s="305"/>
      <c r="P104" s="305"/>
      <c r="Q104" s="305"/>
      <c r="R104" s="305"/>
      <c r="S104" s="305"/>
      <c r="T104" s="305"/>
      <c r="U104" s="305"/>
      <c r="V104" s="305"/>
      <c r="W104" s="305"/>
      <c r="X104" s="305"/>
      <c r="Y104" s="305"/>
      <c r="Z104" s="305"/>
      <c r="AA104" s="305"/>
      <c r="AB104" s="305"/>
      <c r="AC104" s="305"/>
    </row>
    <row r="105" spans="14:29" x14ac:dyDescent="0.25">
      <c r="N105" s="305"/>
      <c r="O105" s="305"/>
      <c r="P105" s="305"/>
      <c r="Q105" s="305"/>
      <c r="R105" s="305"/>
      <c r="S105" s="305"/>
      <c r="T105" s="305"/>
      <c r="U105" s="305"/>
      <c r="V105" s="305"/>
      <c r="W105" s="305"/>
      <c r="X105" s="305"/>
      <c r="Y105" s="305"/>
      <c r="Z105" s="305"/>
      <c r="AA105" s="305"/>
      <c r="AB105" s="305"/>
      <c r="AC105" s="305"/>
    </row>
    <row r="106" spans="14:29" x14ac:dyDescent="0.25">
      <c r="N106" s="305"/>
      <c r="O106" s="305"/>
      <c r="P106" s="305"/>
      <c r="Q106" s="305"/>
      <c r="R106" s="305"/>
      <c r="S106" s="305"/>
      <c r="T106" s="305"/>
      <c r="U106" s="305"/>
      <c r="V106" s="305"/>
      <c r="W106" s="305"/>
      <c r="X106" s="305"/>
      <c r="Y106" s="305"/>
      <c r="Z106" s="305"/>
      <c r="AA106" s="305"/>
      <c r="AB106" s="305"/>
      <c r="AC106" s="305"/>
    </row>
    <row r="107" spans="14:29" x14ac:dyDescent="0.25">
      <c r="N107" s="305"/>
      <c r="O107" s="305"/>
      <c r="P107" s="305"/>
      <c r="Q107" s="305"/>
      <c r="R107" s="305"/>
      <c r="S107" s="305"/>
      <c r="T107" s="305"/>
      <c r="U107" s="305"/>
      <c r="V107" s="305"/>
      <c r="W107" s="305"/>
      <c r="X107" s="305"/>
      <c r="Y107" s="305"/>
      <c r="Z107" s="305"/>
      <c r="AA107" s="305"/>
      <c r="AB107" s="305"/>
      <c r="AC107" s="305"/>
    </row>
    <row r="108" spans="14:29" x14ac:dyDescent="0.25">
      <c r="N108" s="305"/>
      <c r="O108" s="305"/>
      <c r="P108" s="305"/>
      <c r="Q108" s="305"/>
      <c r="R108" s="305"/>
      <c r="S108" s="305"/>
      <c r="T108" s="305"/>
      <c r="U108" s="305"/>
      <c r="V108" s="305"/>
      <c r="W108" s="305"/>
      <c r="X108" s="305"/>
      <c r="Y108" s="305"/>
      <c r="Z108" s="305"/>
      <c r="AA108" s="305"/>
      <c r="AB108" s="305"/>
      <c r="AC108" s="305"/>
    </row>
    <row r="109" spans="14:29" x14ac:dyDescent="0.25">
      <c r="N109" s="305"/>
      <c r="O109" s="305"/>
      <c r="P109" s="305"/>
      <c r="Q109" s="305"/>
      <c r="R109" s="305"/>
      <c r="S109" s="305"/>
      <c r="T109" s="305"/>
      <c r="U109" s="305"/>
      <c r="V109" s="305"/>
      <c r="W109" s="305"/>
      <c r="X109" s="305"/>
      <c r="Y109" s="305"/>
      <c r="Z109" s="305"/>
      <c r="AA109" s="305"/>
      <c r="AB109" s="305"/>
      <c r="AC109" s="305"/>
    </row>
    <row r="110" spans="14:29" x14ac:dyDescent="0.25">
      <c r="N110" s="305"/>
      <c r="O110" s="305"/>
      <c r="P110" s="305"/>
      <c r="Q110" s="305"/>
      <c r="R110" s="305"/>
      <c r="S110" s="305"/>
      <c r="T110" s="305"/>
      <c r="U110" s="305"/>
      <c r="V110" s="305"/>
      <c r="W110" s="305"/>
      <c r="X110" s="305"/>
      <c r="Y110" s="305"/>
      <c r="Z110" s="305"/>
      <c r="AA110" s="305"/>
      <c r="AB110" s="305"/>
      <c r="AC110" s="305"/>
    </row>
    <row r="111" spans="14:29" x14ac:dyDescent="0.25">
      <c r="N111" s="305"/>
      <c r="O111" s="305"/>
      <c r="P111" s="305"/>
      <c r="Q111" s="305"/>
      <c r="R111" s="305"/>
      <c r="S111" s="305"/>
      <c r="T111" s="305"/>
      <c r="U111" s="305"/>
      <c r="V111" s="305"/>
      <c r="W111" s="305"/>
      <c r="X111" s="305"/>
      <c r="Y111" s="305"/>
      <c r="Z111" s="305"/>
      <c r="AA111" s="305"/>
      <c r="AB111" s="305"/>
      <c r="AC111" s="305"/>
    </row>
    <row r="112" spans="14:29" x14ac:dyDescent="0.25">
      <c r="N112" s="305"/>
      <c r="O112" s="305"/>
      <c r="P112" s="305"/>
      <c r="Q112" s="305"/>
      <c r="R112" s="305"/>
      <c r="S112" s="305"/>
      <c r="T112" s="305"/>
      <c r="U112" s="305"/>
      <c r="V112" s="305"/>
      <c r="W112" s="305"/>
      <c r="X112" s="305"/>
      <c r="Y112" s="305"/>
      <c r="Z112" s="305"/>
      <c r="AA112" s="305"/>
      <c r="AB112" s="305"/>
      <c r="AC112" s="305"/>
    </row>
    <row r="113" spans="14:29" x14ac:dyDescent="0.25">
      <c r="N113" s="305"/>
      <c r="O113" s="305"/>
      <c r="P113" s="305"/>
      <c r="Q113" s="305"/>
      <c r="R113" s="305"/>
      <c r="S113" s="305"/>
      <c r="T113" s="305"/>
      <c r="U113" s="305"/>
      <c r="V113" s="305"/>
      <c r="W113" s="305"/>
      <c r="X113" s="305"/>
      <c r="Y113" s="305"/>
      <c r="Z113" s="305"/>
      <c r="AA113" s="305"/>
      <c r="AB113" s="305"/>
      <c r="AC113" s="305"/>
    </row>
    <row r="114" spans="14:29" x14ac:dyDescent="0.25">
      <c r="N114" s="305"/>
      <c r="O114" s="305"/>
      <c r="P114" s="305"/>
      <c r="Q114" s="305"/>
      <c r="R114" s="305"/>
      <c r="S114" s="305"/>
      <c r="T114" s="305"/>
      <c r="U114" s="305"/>
      <c r="V114" s="305"/>
      <c r="W114" s="305"/>
      <c r="X114" s="305"/>
      <c r="Y114" s="305"/>
      <c r="Z114" s="305"/>
      <c r="AA114" s="305"/>
      <c r="AB114" s="305"/>
      <c r="AC114" s="305"/>
    </row>
    <row r="115" spans="14:29" x14ac:dyDescent="0.25">
      <c r="N115" s="305"/>
      <c r="O115" s="305"/>
      <c r="P115" s="305"/>
      <c r="Q115" s="305"/>
      <c r="R115" s="305"/>
      <c r="S115" s="305"/>
      <c r="T115" s="305"/>
      <c r="U115" s="305"/>
      <c r="V115" s="305"/>
      <c r="W115" s="305"/>
      <c r="X115" s="305"/>
      <c r="Y115" s="305"/>
      <c r="Z115" s="305"/>
      <c r="AA115" s="305"/>
      <c r="AB115" s="305"/>
      <c r="AC115" s="305"/>
    </row>
    <row r="116" spans="14:29" x14ac:dyDescent="0.25">
      <c r="N116" s="305"/>
      <c r="O116" s="305"/>
      <c r="P116" s="305"/>
      <c r="Q116" s="305"/>
      <c r="R116" s="305"/>
      <c r="S116" s="305"/>
      <c r="T116" s="305"/>
      <c r="U116" s="305"/>
      <c r="V116" s="305"/>
      <c r="W116" s="305"/>
      <c r="X116" s="305"/>
      <c r="Y116" s="305"/>
      <c r="Z116" s="305"/>
      <c r="AA116" s="305"/>
      <c r="AB116" s="305"/>
      <c r="AC116" s="305"/>
    </row>
    <row r="117" spans="14:29" x14ac:dyDescent="0.25">
      <c r="N117" s="305"/>
      <c r="O117" s="305"/>
      <c r="P117" s="305"/>
      <c r="Q117" s="305"/>
      <c r="R117" s="305"/>
      <c r="S117" s="305"/>
      <c r="T117" s="305"/>
      <c r="U117" s="305"/>
      <c r="V117" s="305"/>
      <c r="W117" s="305"/>
      <c r="X117" s="305"/>
      <c r="Y117" s="305"/>
      <c r="Z117" s="305"/>
      <c r="AA117" s="305"/>
      <c r="AB117" s="305"/>
      <c r="AC117" s="305"/>
    </row>
    <row r="118" spans="14:29" x14ac:dyDescent="0.25">
      <c r="N118" s="305"/>
      <c r="O118" s="305"/>
      <c r="P118" s="305"/>
      <c r="Q118" s="305"/>
      <c r="R118" s="305"/>
      <c r="S118" s="305"/>
      <c r="T118" s="305"/>
      <c r="U118" s="305"/>
      <c r="V118" s="305"/>
      <c r="W118" s="305"/>
      <c r="X118" s="305"/>
      <c r="Y118" s="305"/>
      <c r="Z118" s="305"/>
      <c r="AA118" s="305"/>
      <c r="AB118" s="305"/>
      <c r="AC118" s="305"/>
    </row>
    <row r="119" spans="14:29" x14ac:dyDescent="0.25">
      <c r="N119" s="305"/>
      <c r="O119" s="305"/>
      <c r="P119" s="305"/>
      <c r="Q119" s="305"/>
      <c r="R119" s="305"/>
      <c r="S119" s="305"/>
      <c r="T119" s="305"/>
      <c r="U119" s="305"/>
      <c r="V119" s="305"/>
      <c r="W119" s="305"/>
      <c r="X119" s="305"/>
      <c r="Y119" s="305"/>
      <c r="Z119" s="305"/>
      <c r="AA119" s="305"/>
      <c r="AB119" s="305"/>
      <c r="AC119" s="305"/>
    </row>
    <row r="120" spans="14:29" x14ac:dyDescent="0.25">
      <c r="N120" s="305"/>
      <c r="O120" s="305"/>
      <c r="P120" s="305"/>
      <c r="Q120" s="305"/>
      <c r="R120" s="305"/>
      <c r="S120" s="305"/>
      <c r="T120" s="305"/>
      <c r="U120" s="305"/>
      <c r="V120" s="305"/>
      <c r="W120" s="305"/>
      <c r="X120" s="305"/>
      <c r="Y120" s="305"/>
      <c r="Z120" s="305"/>
      <c r="AA120" s="305"/>
      <c r="AB120" s="305"/>
      <c r="AC120" s="305"/>
    </row>
    <row r="121" spans="14:29" x14ac:dyDescent="0.25">
      <c r="N121" s="305"/>
      <c r="O121" s="305"/>
      <c r="P121" s="305"/>
      <c r="Q121" s="305"/>
      <c r="R121" s="305"/>
      <c r="S121" s="305"/>
      <c r="T121" s="305"/>
      <c r="U121" s="305"/>
      <c r="V121" s="305"/>
      <c r="W121" s="305"/>
      <c r="X121" s="305"/>
      <c r="Y121" s="305"/>
      <c r="Z121" s="305"/>
      <c r="AA121" s="305"/>
      <c r="AB121" s="305"/>
      <c r="AC121" s="305"/>
    </row>
    <row r="122" spans="14:29" x14ac:dyDescent="0.25">
      <c r="N122" s="305"/>
      <c r="O122" s="305"/>
      <c r="P122" s="305"/>
      <c r="Q122" s="305"/>
      <c r="R122" s="305"/>
      <c r="S122" s="305"/>
      <c r="T122" s="305"/>
      <c r="U122" s="305"/>
      <c r="V122" s="305"/>
      <c r="W122" s="305"/>
      <c r="X122" s="305"/>
      <c r="Y122" s="305"/>
      <c r="Z122" s="305"/>
      <c r="AA122" s="305"/>
      <c r="AB122" s="305"/>
      <c r="AC122" s="305"/>
    </row>
    <row r="123" spans="14:29" x14ac:dyDescent="0.25">
      <c r="N123" s="305"/>
      <c r="O123" s="305"/>
      <c r="P123" s="305"/>
      <c r="Q123" s="305"/>
      <c r="R123" s="305"/>
      <c r="S123" s="305"/>
      <c r="T123" s="305"/>
      <c r="U123" s="305"/>
      <c r="V123" s="305"/>
      <c r="W123" s="305"/>
      <c r="X123" s="305"/>
      <c r="Y123" s="305"/>
      <c r="Z123" s="305"/>
      <c r="AA123" s="305"/>
      <c r="AB123" s="305"/>
      <c r="AC123" s="305"/>
    </row>
    <row r="124" spans="14:29" x14ac:dyDescent="0.25">
      <c r="N124" s="305"/>
      <c r="O124" s="305"/>
      <c r="P124" s="305"/>
      <c r="Q124" s="305"/>
      <c r="R124" s="305"/>
      <c r="S124" s="305"/>
      <c r="T124" s="305"/>
      <c r="U124" s="305"/>
      <c r="V124" s="305"/>
      <c r="W124" s="305"/>
      <c r="X124" s="305"/>
      <c r="Y124" s="305"/>
      <c r="Z124" s="305"/>
      <c r="AA124" s="305"/>
      <c r="AB124" s="305"/>
      <c r="AC124" s="305"/>
    </row>
    <row r="125" spans="14:29" x14ac:dyDescent="0.25">
      <c r="N125" s="305"/>
      <c r="O125" s="305"/>
      <c r="P125" s="305"/>
      <c r="Q125" s="305"/>
      <c r="R125" s="305"/>
      <c r="S125" s="305"/>
      <c r="T125" s="305"/>
      <c r="U125" s="305"/>
      <c r="V125" s="305"/>
      <c r="W125" s="305"/>
      <c r="X125" s="305"/>
      <c r="Y125" s="305"/>
      <c r="Z125" s="305"/>
      <c r="AA125" s="305"/>
      <c r="AB125" s="305"/>
      <c r="AC125" s="305"/>
    </row>
    <row r="126" spans="14:29" x14ac:dyDescent="0.25">
      <c r="N126" s="305"/>
      <c r="O126" s="305"/>
      <c r="P126" s="305"/>
      <c r="Q126" s="305"/>
      <c r="R126" s="305"/>
      <c r="S126" s="305"/>
      <c r="T126" s="305"/>
      <c r="U126" s="305"/>
      <c r="V126" s="305"/>
      <c r="W126" s="305"/>
      <c r="X126" s="305"/>
      <c r="Y126" s="305"/>
      <c r="Z126" s="305"/>
      <c r="AA126" s="305"/>
      <c r="AB126" s="305"/>
      <c r="AC126" s="305"/>
    </row>
    <row r="127" spans="14:29" x14ac:dyDescent="0.25">
      <c r="N127" s="305"/>
      <c r="O127" s="305"/>
      <c r="P127" s="305"/>
      <c r="Q127" s="305"/>
      <c r="R127" s="305"/>
      <c r="S127" s="305"/>
      <c r="T127" s="305"/>
      <c r="U127" s="305"/>
      <c r="V127" s="305"/>
      <c r="W127" s="305"/>
      <c r="X127" s="305"/>
      <c r="Y127" s="305"/>
      <c r="Z127" s="305"/>
      <c r="AA127" s="305"/>
      <c r="AB127" s="305"/>
      <c r="AC127" s="305"/>
    </row>
    <row r="128" spans="14:29" x14ac:dyDescent="0.25">
      <c r="N128" s="305"/>
      <c r="O128" s="305"/>
      <c r="P128" s="305"/>
      <c r="Q128" s="305"/>
      <c r="R128" s="305"/>
      <c r="S128" s="305"/>
      <c r="T128" s="305"/>
      <c r="U128" s="305"/>
      <c r="V128" s="305"/>
      <c r="W128" s="305"/>
      <c r="X128" s="305"/>
      <c r="Y128" s="305"/>
      <c r="Z128" s="305"/>
      <c r="AA128" s="305"/>
      <c r="AB128" s="305"/>
      <c r="AC128" s="305"/>
    </row>
    <row r="129" spans="14:29" x14ac:dyDescent="0.25">
      <c r="N129" s="305"/>
      <c r="O129" s="305"/>
      <c r="P129" s="305"/>
      <c r="Q129" s="305"/>
      <c r="R129" s="305"/>
      <c r="S129" s="305"/>
      <c r="T129" s="305"/>
      <c r="U129" s="305"/>
      <c r="V129" s="305"/>
      <c r="W129" s="305"/>
      <c r="X129" s="305"/>
      <c r="Y129" s="305"/>
      <c r="Z129" s="305"/>
      <c r="AA129" s="305"/>
      <c r="AB129" s="305"/>
      <c r="AC129" s="305"/>
    </row>
    <row r="130" spans="14:29" x14ac:dyDescent="0.25">
      <c r="N130" s="305"/>
      <c r="O130" s="305"/>
      <c r="P130" s="305"/>
      <c r="Q130" s="305"/>
      <c r="R130" s="305"/>
      <c r="S130" s="305"/>
      <c r="T130" s="305"/>
      <c r="U130" s="305"/>
      <c r="V130" s="305"/>
      <c r="W130" s="305"/>
      <c r="X130" s="305"/>
      <c r="Y130" s="305"/>
      <c r="Z130" s="305"/>
      <c r="AA130" s="305"/>
      <c r="AB130" s="305"/>
      <c r="AC130" s="305"/>
    </row>
    <row r="131" spans="14:29" x14ac:dyDescent="0.25">
      <c r="N131" s="305"/>
      <c r="O131" s="305"/>
      <c r="P131" s="305"/>
      <c r="Q131" s="305"/>
      <c r="R131" s="305"/>
      <c r="S131" s="305"/>
      <c r="T131" s="305"/>
      <c r="U131" s="305"/>
      <c r="V131" s="305"/>
      <c r="W131" s="305"/>
      <c r="X131" s="305"/>
      <c r="Y131" s="305"/>
      <c r="Z131" s="305"/>
      <c r="AA131" s="305"/>
      <c r="AB131" s="305"/>
      <c r="AC131" s="305"/>
    </row>
    <row r="132" spans="14:29" x14ac:dyDescent="0.25">
      <c r="N132" s="305"/>
      <c r="O132" s="305"/>
      <c r="P132" s="305"/>
      <c r="Q132" s="305"/>
      <c r="R132" s="305"/>
      <c r="S132" s="305"/>
      <c r="T132" s="305"/>
      <c r="U132" s="305"/>
      <c r="V132" s="305"/>
      <c r="W132" s="305"/>
      <c r="X132" s="305"/>
      <c r="Y132" s="305"/>
      <c r="Z132" s="305"/>
      <c r="AA132" s="305"/>
      <c r="AB132" s="305"/>
      <c r="AC132" s="305"/>
    </row>
    <row r="133" spans="14:29" x14ac:dyDescent="0.25">
      <c r="N133" s="305"/>
      <c r="O133" s="305"/>
      <c r="P133" s="305"/>
      <c r="Q133" s="305"/>
      <c r="R133" s="305"/>
      <c r="S133" s="305"/>
      <c r="T133" s="305"/>
      <c r="U133" s="305"/>
      <c r="V133" s="305"/>
      <c r="W133" s="305"/>
      <c r="X133" s="305"/>
      <c r="Y133" s="305"/>
      <c r="Z133" s="305"/>
      <c r="AA133" s="305"/>
      <c r="AB133" s="305"/>
      <c r="AC133" s="305"/>
    </row>
    <row r="134" spans="14:29" x14ac:dyDescent="0.25">
      <c r="N134" s="305"/>
      <c r="O134" s="305"/>
      <c r="P134" s="305"/>
      <c r="Q134" s="305"/>
      <c r="R134" s="305"/>
      <c r="S134" s="305"/>
      <c r="T134" s="305"/>
      <c r="U134" s="305"/>
      <c r="V134" s="305"/>
      <c r="W134" s="305"/>
      <c r="X134" s="305"/>
      <c r="Y134" s="305"/>
      <c r="Z134" s="305"/>
      <c r="AA134" s="305"/>
      <c r="AB134" s="305"/>
      <c r="AC134" s="305"/>
    </row>
    <row r="135" spans="14:29" x14ac:dyDescent="0.25">
      <c r="N135" s="305"/>
      <c r="O135" s="305"/>
      <c r="P135" s="305"/>
      <c r="Q135" s="305"/>
      <c r="R135" s="305"/>
      <c r="S135" s="305"/>
      <c r="T135" s="305"/>
      <c r="U135" s="305"/>
      <c r="V135" s="305"/>
      <c r="W135" s="305"/>
      <c r="X135" s="305"/>
      <c r="Y135" s="305"/>
      <c r="Z135" s="305"/>
      <c r="AA135" s="305"/>
      <c r="AB135" s="305"/>
      <c r="AC135" s="305"/>
    </row>
    <row r="136" spans="14:29" x14ac:dyDescent="0.25">
      <c r="N136" s="305"/>
      <c r="O136" s="305"/>
      <c r="P136" s="305"/>
      <c r="Q136" s="305"/>
      <c r="R136" s="305"/>
      <c r="S136" s="305"/>
      <c r="T136" s="305"/>
      <c r="U136" s="305"/>
      <c r="V136" s="305"/>
      <c r="W136" s="305"/>
      <c r="X136" s="305"/>
      <c r="Y136" s="305"/>
      <c r="Z136" s="305"/>
      <c r="AA136" s="305"/>
      <c r="AB136" s="305"/>
      <c r="AC136" s="305"/>
    </row>
    <row r="137" spans="14:29" x14ac:dyDescent="0.25">
      <c r="N137" s="305"/>
      <c r="O137" s="305"/>
      <c r="P137" s="305"/>
      <c r="Q137" s="305"/>
      <c r="R137" s="305"/>
      <c r="S137" s="305"/>
      <c r="T137" s="305"/>
      <c r="U137" s="305"/>
      <c r="V137" s="305"/>
      <c r="W137" s="305"/>
      <c r="X137" s="305"/>
      <c r="Y137" s="305"/>
      <c r="Z137" s="305"/>
      <c r="AA137" s="305"/>
      <c r="AB137" s="305"/>
      <c r="AC137" s="305"/>
    </row>
    <row r="138" spans="14:29" x14ac:dyDescent="0.25">
      <c r="N138" s="305"/>
      <c r="O138" s="305"/>
      <c r="P138" s="305"/>
      <c r="Q138" s="305"/>
      <c r="R138" s="305"/>
      <c r="S138" s="305"/>
      <c r="T138" s="305"/>
      <c r="U138" s="305"/>
      <c r="V138" s="305"/>
      <c r="W138" s="305"/>
      <c r="X138" s="305"/>
      <c r="Y138" s="305"/>
      <c r="Z138" s="305"/>
      <c r="AA138" s="305"/>
      <c r="AB138" s="305"/>
      <c r="AC138" s="305"/>
    </row>
    <row r="139" spans="14:29" x14ac:dyDescent="0.25">
      <c r="N139" s="305"/>
      <c r="O139" s="305"/>
      <c r="P139" s="305"/>
      <c r="Q139" s="305"/>
      <c r="R139" s="305"/>
      <c r="S139" s="305"/>
      <c r="T139" s="305"/>
      <c r="U139" s="305"/>
      <c r="V139" s="305"/>
      <c r="W139" s="305"/>
      <c r="X139" s="305"/>
      <c r="Y139" s="305"/>
      <c r="Z139" s="305"/>
      <c r="AA139" s="305"/>
      <c r="AB139" s="305"/>
      <c r="AC139" s="305"/>
    </row>
    <row r="140" spans="14:29" x14ac:dyDescent="0.25">
      <c r="N140" s="305"/>
      <c r="O140" s="305"/>
      <c r="P140" s="305"/>
      <c r="Q140" s="305"/>
      <c r="R140" s="305"/>
      <c r="S140" s="305"/>
      <c r="T140" s="305"/>
      <c r="U140" s="305"/>
      <c r="V140" s="305"/>
      <c r="W140" s="305"/>
      <c r="X140" s="305"/>
      <c r="Y140" s="305"/>
      <c r="Z140" s="305"/>
      <c r="AA140" s="305"/>
      <c r="AB140" s="305"/>
      <c r="AC140" s="305"/>
    </row>
    <row r="141" spans="14:29" x14ac:dyDescent="0.25">
      <c r="N141" s="305"/>
      <c r="O141" s="305"/>
      <c r="P141" s="305"/>
      <c r="Q141" s="305"/>
      <c r="R141" s="305"/>
      <c r="S141" s="305"/>
      <c r="T141" s="305"/>
      <c r="U141" s="305"/>
      <c r="V141" s="305"/>
      <c r="W141" s="305"/>
      <c r="X141" s="305"/>
      <c r="Y141" s="305"/>
      <c r="Z141" s="305"/>
      <c r="AA141" s="305"/>
      <c r="AB141" s="305"/>
      <c r="AC141" s="305"/>
    </row>
    <row r="142" spans="14:29" x14ac:dyDescent="0.25">
      <c r="N142" s="305"/>
      <c r="O142" s="305"/>
      <c r="P142" s="305"/>
      <c r="Q142" s="305"/>
      <c r="R142" s="305"/>
      <c r="S142" s="305"/>
      <c r="T142" s="305"/>
      <c r="U142" s="305"/>
      <c r="V142" s="305"/>
      <c r="W142" s="305"/>
      <c r="X142" s="305"/>
      <c r="Y142" s="305"/>
      <c r="Z142" s="305"/>
      <c r="AA142" s="305"/>
      <c r="AB142" s="305"/>
      <c r="AC142" s="305"/>
    </row>
    <row r="143" spans="14:29" x14ac:dyDescent="0.25">
      <c r="N143" s="305"/>
      <c r="O143" s="305"/>
      <c r="P143" s="305"/>
      <c r="Q143" s="305"/>
      <c r="R143" s="305"/>
      <c r="S143" s="305"/>
      <c r="T143" s="305"/>
      <c r="U143" s="305"/>
      <c r="V143" s="305"/>
      <c r="W143" s="305"/>
      <c r="X143" s="305"/>
      <c r="Y143" s="305"/>
      <c r="Z143" s="305"/>
      <c r="AA143" s="305"/>
      <c r="AB143" s="305"/>
      <c r="AC143" s="305"/>
    </row>
    <row r="144" spans="14:29" x14ac:dyDescent="0.25">
      <c r="N144" s="305"/>
      <c r="O144" s="305"/>
      <c r="P144" s="305"/>
      <c r="Q144" s="305"/>
      <c r="R144" s="305"/>
      <c r="S144" s="305"/>
      <c r="T144" s="305"/>
      <c r="U144" s="305"/>
      <c r="V144" s="305"/>
      <c r="W144" s="305"/>
      <c r="X144" s="305"/>
      <c r="Y144" s="305"/>
      <c r="Z144" s="305"/>
      <c r="AA144" s="305"/>
      <c r="AB144" s="305"/>
      <c r="AC144" s="305"/>
    </row>
    <row r="283" ht="36.6" customHeight="1" x14ac:dyDescent="0.25"/>
    <row r="316" ht="35.450000000000003" customHeight="1" x14ac:dyDescent="0.25"/>
    <row r="320" ht="32.450000000000003" customHeight="1" x14ac:dyDescent="0.25"/>
  </sheetData>
  <sortState xmlns:xlrd2="http://schemas.microsoft.com/office/spreadsheetml/2017/richdata2" ref="A10:J43">
    <sortCondition descending="1" ref="J10:J43"/>
  </sortState>
  <mergeCells count="18">
    <mergeCell ref="H44:I44"/>
    <mergeCell ref="A44:G44"/>
    <mergeCell ref="I46:L46"/>
    <mergeCell ref="D2:G2"/>
    <mergeCell ref="D3:G3"/>
    <mergeCell ref="D1:G1"/>
    <mergeCell ref="H1:M1"/>
    <mergeCell ref="H2:I3"/>
    <mergeCell ref="J2:M3"/>
    <mergeCell ref="H4:I4"/>
    <mergeCell ref="J4:M4"/>
    <mergeCell ref="H5:I5"/>
    <mergeCell ref="J5:M5"/>
    <mergeCell ref="H6:I6"/>
    <mergeCell ref="H7:I7"/>
    <mergeCell ref="J7:M7"/>
    <mergeCell ref="J6:M6"/>
    <mergeCell ref="B8:M8"/>
  </mergeCells>
  <conditionalFormatting sqref="M10:M43">
    <cfRule type="cellIs" dxfId="26" priority="16" stopIfTrue="1" operator="equal">
      <formula>"c"</formula>
    </cfRule>
    <cfRule type="cellIs" dxfId="25" priority="17" stopIfTrue="1" operator="equal">
      <formula>"B"</formula>
    </cfRule>
    <cfRule type="cellIs" dxfId="24" priority="18" stopIfTrue="1" operator="equal">
      <formula>"A"</formula>
    </cfRule>
  </conditionalFormatting>
  <conditionalFormatting sqref="I48 I46">
    <cfRule type="cellIs" dxfId="23" priority="13" stopIfTrue="1" operator="equal">
      <formula>"c"</formula>
    </cfRule>
    <cfRule type="cellIs" dxfId="22" priority="14" stopIfTrue="1" operator="equal">
      <formula>"B"</formula>
    </cfRule>
    <cfRule type="cellIs" dxfId="21" priority="15" stopIfTrue="1" operator="equal">
      <formula>"A"</formula>
    </cfRule>
  </conditionalFormatting>
  <conditionalFormatting sqref="I49">
    <cfRule type="cellIs" dxfId="20" priority="10" stopIfTrue="1" operator="equal">
      <formula>"c"</formula>
    </cfRule>
    <cfRule type="cellIs" dxfId="19" priority="11" stopIfTrue="1" operator="equal">
      <formula>"B"</formula>
    </cfRule>
    <cfRule type="cellIs" dxfId="18" priority="12" stopIfTrue="1" operator="equal">
      <formula>"A"</formula>
    </cfRule>
  </conditionalFormatting>
  <conditionalFormatting sqref="I50">
    <cfRule type="cellIs" dxfId="17" priority="7" stopIfTrue="1" operator="equal">
      <formula>"c"</formula>
    </cfRule>
    <cfRule type="cellIs" dxfId="16" priority="8" stopIfTrue="1" operator="equal">
      <formula>"B"</formula>
    </cfRule>
    <cfRule type="cellIs" dxfId="15" priority="9" stopIfTrue="1" operator="equal">
      <formula>"A"</formula>
    </cfRule>
  </conditionalFormatting>
  <conditionalFormatting sqref="I47:L50">
    <cfRule type="cellIs" dxfId="14" priority="4" stopIfTrue="1" operator="equal">
      <formula>"c"</formula>
    </cfRule>
    <cfRule type="cellIs" dxfId="13" priority="5" stopIfTrue="1" operator="equal">
      <formula>"B"</formula>
    </cfRule>
    <cfRule type="cellIs" dxfId="12" priority="6" stopIfTrue="1" operator="equal">
      <formula>"A"</formula>
    </cfRule>
  </conditionalFormatting>
  <conditionalFormatting sqref="A44 J44:M44 H44">
    <cfRule type="cellIs" dxfId="11" priority="1" stopIfTrue="1" operator="equal">
      <formula>"c"</formula>
    </cfRule>
    <cfRule type="cellIs" dxfId="10" priority="2" stopIfTrue="1" operator="equal">
      <formula>"B"</formula>
    </cfRule>
    <cfRule type="cellIs" dxfId="9" priority="3" stopIfTrue="1" operator="equal">
      <formula>"A"</formula>
    </cfRule>
  </conditionalFormatting>
  <pageMargins left="0.511811024" right="0.511811024" top="0.78740157499999996" bottom="0.78740157499999996" header="0.31496062000000002" footer="0.31496062000000002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2060"/>
  </sheetPr>
  <dimension ref="A1:R2720"/>
  <sheetViews>
    <sheetView tabSelected="1" view="pageBreakPreview" zoomScaleNormal="100" zoomScaleSheetLayoutView="100" workbookViewId="0">
      <selection activeCell="H13" sqref="H13"/>
    </sheetView>
  </sheetViews>
  <sheetFormatPr defaultRowHeight="15" x14ac:dyDescent="0.25"/>
  <cols>
    <col min="2" max="2" width="32.28515625" customWidth="1"/>
    <col min="10" max="10" width="12.42578125" customWidth="1"/>
    <col min="11" max="11" width="11.28515625" customWidth="1"/>
    <col min="14" max="14" width="11.7109375" customWidth="1"/>
  </cols>
  <sheetData>
    <row r="1" spans="1:14" ht="10.9" customHeight="1" x14ac:dyDescent="0.3">
      <c r="A1" s="25"/>
      <c r="B1" s="26"/>
      <c r="C1" s="26"/>
      <c r="D1" s="26"/>
      <c r="E1" s="216"/>
      <c r="F1" s="216"/>
      <c r="G1" s="216"/>
      <c r="H1" s="217"/>
      <c r="I1" s="778" t="s">
        <v>177</v>
      </c>
      <c r="J1" s="778"/>
      <c r="K1" s="778"/>
      <c r="L1" s="778"/>
      <c r="M1" s="778"/>
      <c r="N1" s="778"/>
    </row>
    <row r="2" spans="1:14" ht="27.6" customHeight="1" x14ac:dyDescent="0.3">
      <c r="A2" s="28"/>
      <c r="B2" s="218"/>
      <c r="C2" s="29"/>
      <c r="D2" s="29"/>
      <c r="E2" s="52" t="s">
        <v>0</v>
      </c>
      <c r="F2" s="218"/>
      <c r="G2" s="218"/>
      <c r="H2" s="219"/>
      <c r="I2" s="780" t="s">
        <v>22</v>
      </c>
      <c r="J2" s="858"/>
      <c r="K2" s="783" t="s">
        <v>832</v>
      </c>
      <c r="L2" s="783"/>
      <c r="M2" s="783"/>
      <c r="N2" s="783"/>
    </row>
    <row r="3" spans="1:14" ht="16.5" x14ac:dyDescent="0.3">
      <c r="A3" s="28"/>
      <c r="B3" s="218"/>
      <c r="C3" s="29"/>
      <c r="D3" s="29"/>
      <c r="E3" s="53" t="s">
        <v>1</v>
      </c>
      <c r="F3" s="218"/>
      <c r="G3" s="218"/>
      <c r="H3" s="219"/>
      <c r="I3" s="51"/>
      <c r="J3" s="51"/>
      <c r="K3" s="783"/>
      <c r="L3" s="783"/>
      <c r="M3" s="783"/>
      <c r="N3" s="783"/>
    </row>
    <row r="4" spans="1:14" ht="16.5" x14ac:dyDescent="0.3">
      <c r="A4" s="28"/>
      <c r="B4" s="29"/>
      <c r="C4" s="29"/>
      <c r="D4" s="54"/>
      <c r="E4" s="218"/>
      <c r="F4" s="218"/>
      <c r="G4" s="218"/>
      <c r="H4" s="219"/>
      <c r="I4" s="784" t="s">
        <v>23</v>
      </c>
      <c r="J4" s="785"/>
      <c r="K4" s="786" t="s">
        <v>781</v>
      </c>
      <c r="L4" s="786"/>
      <c r="M4" s="786"/>
      <c r="N4" s="786"/>
    </row>
    <row r="5" spans="1:14" ht="16.5" x14ac:dyDescent="0.3">
      <c r="A5" s="28"/>
      <c r="B5" s="29"/>
      <c r="C5" s="29"/>
      <c r="D5" s="29"/>
      <c r="E5" s="218"/>
      <c r="F5" s="218"/>
      <c r="G5" s="218"/>
      <c r="H5" s="219"/>
      <c r="I5" s="790" t="s">
        <v>24</v>
      </c>
      <c r="J5" s="791"/>
      <c r="K5" s="792">
        <v>0.2135</v>
      </c>
      <c r="L5" s="792"/>
      <c r="M5" s="792"/>
      <c r="N5" s="792"/>
    </row>
    <row r="6" spans="1:14" ht="16.5" x14ac:dyDescent="0.3">
      <c r="A6" s="28"/>
      <c r="B6" s="29"/>
      <c r="C6" s="29"/>
      <c r="D6" s="29"/>
      <c r="E6" s="218"/>
      <c r="F6" s="218"/>
      <c r="G6" s="218"/>
      <c r="H6" s="219"/>
      <c r="I6" s="790" t="s">
        <v>786</v>
      </c>
      <c r="J6" s="791"/>
      <c r="K6" s="792">
        <v>0.1401</v>
      </c>
      <c r="L6" s="792"/>
      <c r="M6" s="792"/>
      <c r="N6" s="792"/>
    </row>
    <row r="7" spans="1:14" ht="27.6" customHeight="1" x14ac:dyDescent="0.3">
      <c r="A7" s="34"/>
      <c r="B7" s="35"/>
      <c r="C7" s="35"/>
      <c r="D7" s="35"/>
      <c r="E7" s="220"/>
      <c r="F7" s="220"/>
      <c r="G7" s="220"/>
      <c r="H7" s="221"/>
      <c r="I7" s="793" t="s">
        <v>25</v>
      </c>
      <c r="J7" s="809"/>
      <c r="K7" s="795" t="s">
        <v>467</v>
      </c>
      <c r="L7" s="795"/>
      <c r="M7" s="795"/>
      <c r="N7" s="796"/>
    </row>
    <row r="8" spans="1:14" ht="29.45" customHeight="1" thickBot="1" x14ac:dyDescent="0.3">
      <c r="A8" s="55" t="s">
        <v>2</v>
      </c>
      <c r="B8" s="877" t="s">
        <v>699</v>
      </c>
      <c r="C8" s="878"/>
      <c r="D8" s="878"/>
      <c r="E8" s="878"/>
      <c r="F8" s="878"/>
      <c r="G8" s="878"/>
      <c r="H8" s="878"/>
      <c r="I8" s="878"/>
      <c r="J8" s="878"/>
      <c r="K8" s="878"/>
      <c r="L8" s="878"/>
      <c r="M8" s="878"/>
      <c r="N8" s="879"/>
    </row>
    <row r="9" spans="1:14" ht="15.75" thickBot="1" x14ac:dyDescent="0.3">
      <c r="A9" s="880" t="s">
        <v>178</v>
      </c>
      <c r="B9" s="881"/>
      <c r="C9" s="881"/>
      <c r="D9" s="881"/>
      <c r="E9" s="881"/>
      <c r="F9" s="881"/>
      <c r="G9" s="881"/>
      <c r="H9" s="881"/>
      <c r="I9" s="881"/>
      <c r="J9" s="881"/>
      <c r="K9" s="881"/>
      <c r="L9" s="882"/>
      <c r="M9" s="883">
        <v>44044</v>
      </c>
      <c r="N9" s="884"/>
    </row>
    <row r="10" spans="1:14" x14ac:dyDescent="0.25">
      <c r="A10" s="222"/>
      <c r="B10" s="222"/>
      <c r="C10" s="222"/>
      <c r="D10" s="222"/>
      <c r="E10" s="222"/>
      <c r="F10" s="222"/>
      <c r="G10" s="222"/>
      <c r="H10" s="222"/>
      <c r="I10" s="222"/>
      <c r="J10" s="222"/>
      <c r="K10" s="222"/>
      <c r="L10" s="222"/>
      <c r="M10" s="222"/>
      <c r="N10" s="222"/>
    </row>
    <row r="11" spans="1:14" ht="15" customHeight="1" x14ac:dyDescent="0.25">
      <c r="A11" s="876" t="s">
        <v>179</v>
      </c>
      <c r="B11" s="888" t="s">
        <v>180</v>
      </c>
      <c r="C11" s="876" t="s">
        <v>181</v>
      </c>
      <c r="D11" s="876" t="s">
        <v>182</v>
      </c>
      <c r="E11" s="876" t="s">
        <v>183</v>
      </c>
      <c r="F11" s="876" t="s">
        <v>184</v>
      </c>
      <c r="G11" s="876" t="s">
        <v>185</v>
      </c>
      <c r="H11" s="876" t="s">
        <v>186</v>
      </c>
      <c r="I11" s="876" t="s">
        <v>187</v>
      </c>
      <c r="J11" s="876" t="s">
        <v>188</v>
      </c>
      <c r="K11" s="876" t="s">
        <v>189</v>
      </c>
      <c r="L11" s="876" t="s">
        <v>190</v>
      </c>
      <c r="M11" s="876" t="s">
        <v>191</v>
      </c>
      <c r="N11" s="876" t="s">
        <v>192</v>
      </c>
    </row>
    <row r="12" spans="1:14" x14ac:dyDescent="0.25">
      <c r="A12" s="876"/>
      <c r="B12" s="888"/>
      <c r="C12" s="876"/>
      <c r="D12" s="876"/>
      <c r="E12" s="876" t="s">
        <v>193</v>
      </c>
      <c r="F12" s="876" t="s">
        <v>194</v>
      </c>
      <c r="G12" s="876" t="s">
        <v>195</v>
      </c>
      <c r="H12" s="876"/>
      <c r="I12" s="876"/>
      <c r="J12" s="876"/>
      <c r="K12" s="876"/>
      <c r="L12" s="876" t="s">
        <v>195</v>
      </c>
      <c r="M12" s="876" t="s">
        <v>194</v>
      </c>
      <c r="N12" s="876" t="s">
        <v>195</v>
      </c>
    </row>
    <row r="13" spans="1:14" x14ac:dyDescent="0.25">
      <c r="A13" s="248" t="s">
        <v>5</v>
      </c>
      <c r="B13" s="233" t="s">
        <v>8</v>
      </c>
      <c r="C13" s="234"/>
      <c r="D13" s="235"/>
      <c r="E13" s="235"/>
      <c r="F13" s="235"/>
      <c r="G13" s="235"/>
      <c r="H13" s="235"/>
      <c r="I13" s="249"/>
      <c r="J13" s="249"/>
      <c r="K13" s="249"/>
      <c r="L13" s="235"/>
      <c r="M13" s="235"/>
      <c r="N13" s="250"/>
    </row>
    <row r="14" spans="1:14" x14ac:dyDescent="0.25">
      <c r="A14" s="223" t="s">
        <v>9</v>
      </c>
      <c r="B14" s="229" t="s">
        <v>461</v>
      </c>
      <c r="C14" s="225" t="s">
        <v>12</v>
      </c>
      <c r="D14" s="226"/>
      <c r="E14" s="226"/>
      <c r="F14" s="226"/>
      <c r="G14" s="226"/>
      <c r="H14" s="226"/>
      <c r="I14" s="227" t="s">
        <v>196</v>
      </c>
      <c r="J14" s="227"/>
      <c r="K14" s="227"/>
      <c r="L14" s="226"/>
      <c r="M14" s="226"/>
      <c r="N14" s="230">
        <f>N15</f>
        <v>8</v>
      </c>
    </row>
    <row r="15" spans="1:14" x14ac:dyDescent="0.25">
      <c r="A15" s="223"/>
      <c r="B15" s="229"/>
      <c r="C15" s="225"/>
      <c r="D15" s="226"/>
      <c r="E15" s="226"/>
      <c r="F15" s="226"/>
      <c r="G15" s="226"/>
      <c r="H15" s="226"/>
      <c r="I15" s="227">
        <v>8</v>
      </c>
      <c r="J15" s="226"/>
      <c r="K15" s="226"/>
      <c r="L15" s="226"/>
      <c r="M15" s="226"/>
      <c r="N15" s="228">
        <f>I15</f>
        <v>8</v>
      </c>
    </row>
    <row r="16" spans="1:14" x14ac:dyDescent="0.25">
      <c r="A16" s="223"/>
      <c r="B16" s="229"/>
      <c r="C16" s="225"/>
      <c r="D16" s="226"/>
      <c r="E16" s="226"/>
      <c r="F16" s="226"/>
      <c r="G16" s="226"/>
      <c r="H16" s="226"/>
      <c r="I16" s="226"/>
      <c r="J16" s="226"/>
      <c r="K16" s="226"/>
      <c r="L16" s="226"/>
      <c r="M16" s="226"/>
      <c r="N16" s="228"/>
    </row>
    <row r="17" spans="1:14" x14ac:dyDescent="0.25">
      <c r="A17" s="245" t="s">
        <v>26</v>
      </c>
      <c r="B17" s="233" t="s">
        <v>6</v>
      </c>
      <c r="C17" s="246"/>
      <c r="D17" s="247"/>
      <c r="E17" s="247"/>
      <c r="F17" s="247"/>
      <c r="G17" s="247"/>
      <c r="H17" s="247"/>
      <c r="I17" s="247"/>
      <c r="J17" s="247"/>
      <c r="K17" s="247"/>
      <c r="L17" s="247"/>
      <c r="M17" s="247"/>
      <c r="N17" s="247"/>
    </row>
    <row r="18" spans="1:14" ht="38.25" x14ac:dyDescent="0.25">
      <c r="A18" s="223" t="s">
        <v>27</v>
      </c>
      <c r="B18" s="229" t="s">
        <v>197</v>
      </c>
      <c r="C18" s="225" t="s">
        <v>30</v>
      </c>
      <c r="D18" s="226"/>
      <c r="E18" s="226"/>
      <c r="F18" s="226"/>
      <c r="G18" s="226"/>
      <c r="H18" s="226"/>
      <c r="I18" s="226"/>
      <c r="J18" s="226"/>
      <c r="K18" s="226"/>
      <c r="L18" s="226"/>
      <c r="M18" s="226"/>
      <c r="N18" s="230">
        <f>N19</f>
        <v>6</v>
      </c>
    </row>
    <row r="19" spans="1:14" x14ac:dyDescent="0.25">
      <c r="A19" s="223"/>
      <c r="B19" s="229"/>
      <c r="C19" s="225"/>
      <c r="D19" s="226"/>
      <c r="E19" s="226">
        <v>3</v>
      </c>
      <c r="F19" s="226">
        <v>2</v>
      </c>
      <c r="G19" s="226"/>
      <c r="H19" s="226"/>
      <c r="I19" s="226"/>
      <c r="J19" s="226"/>
      <c r="K19" s="226"/>
      <c r="L19" s="226"/>
      <c r="M19" s="226"/>
      <c r="N19" s="228">
        <f>E19*F2:F19</f>
        <v>6</v>
      </c>
    </row>
    <row r="20" spans="1:14" x14ac:dyDescent="0.25">
      <c r="A20" s="223"/>
      <c r="B20" s="229"/>
      <c r="C20" s="225"/>
      <c r="D20" s="226"/>
      <c r="E20" s="226"/>
      <c r="F20" s="226"/>
      <c r="G20" s="226"/>
      <c r="H20" s="226"/>
      <c r="I20" s="226"/>
      <c r="J20" s="226"/>
      <c r="K20" s="226"/>
      <c r="L20" s="226"/>
      <c r="M20" s="226"/>
      <c r="N20" s="228"/>
    </row>
    <row r="21" spans="1:14" ht="25.5" x14ac:dyDescent="0.25">
      <c r="A21" s="223" t="s">
        <v>435</v>
      </c>
      <c r="B21" s="229" t="s">
        <v>434</v>
      </c>
      <c r="C21" s="225" t="s">
        <v>30</v>
      </c>
      <c r="D21" s="226"/>
      <c r="E21" s="226"/>
      <c r="F21" s="226"/>
      <c r="G21" s="226"/>
      <c r="H21" s="226"/>
      <c r="I21" s="226"/>
      <c r="J21" s="226"/>
      <c r="K21" s="226"/>
      <c r="L21" s="226"/>
      <c r="M21" s="226"/>
      <c r="N21" s="312">
        <f>N22</f>
        <v>1084.02</v>
      </c>
    </row>
    <row r="22" spans="1:14" x14ac:dyDescent="0.25">
      <c r="A22" s="223"/>
      <c r="B22" s="229"/>
      <c r="C22" s="225"/>
      <c r="D22" s="226"/>
      <c r="E22" s="226">
        <f>DRENAGEM!C60</f>
        <v>542.01</v>
      </c>
      <c r="F22" s="226">
        <v>1</v>
      </c>
      <c r="G22" s="226"/>
      <c r="H22" s="226"/>
      <c r="I22" s="226">
        <v>2</v>
      </c>
      <c r="J22" s="226"/>
      <c r="K22" s="226"/>
      <c r="L22" s="226"/>
      <c r="M22" s="226"/>
      <c r="N22" s="311">
        <f>E22*F22*I22</f>
        <v>1084.02</v>
      </c>
    </row>
    <row r="23" spans="1:14" x14ac:dyDescent="0.25">
      <c r="A23" s="223"/>
      <c r="B23" s="229"/>
      <c r="C23" s="225"/>
      <c r="D23" s="226"/>
      <c r="E23" s="226"/>
      <c r="F23" s="226"/>
      <c r="G23" s="226"/>
      <c r="H23" s="226"/>
      <c r="I23" s="226"/>
      <c r="J23" s="226"/>
      <c r="K23" s="226"/>
      <c r="L23" s="226"/>
      <c r="M23" s="226"/>
      <c r="N23" s="311"/>
    </row>
    <row r="24" spans="1:14" ht="51" x14ac:dyDescent="0.25">
      <c r="A24" s="223" t="s">
        <v>438</v>
      </c>
      <c r="B24" s="229" t="s">
        <v>436</v>
      </c>
      <c r="C24" s="225" t="s">
        <v>57</v>
      </c>
      <c r="D24" s="226"/>
      <c r="E24" s="226"/>
      <c r="F24" s="226"/>
      <c r="G24" s="226"/>
      <c r="H24" s="226"/>
      <c r="I24" s="227" t="s">
        <v>196</v>
      </c>
      <c r="J24" s="226"/>
      <c r="K24" s="226"/>
      <c r="L24" s="226"/>
      <c r="M24" s="226"/>
      <c r="N24" s="230">
        <f>N25</f>
        <v>10</v>
      </c>
    </row>
    <row r="25" spans="1:14" x14ac:dyDescent="0.25">
      <c r="A25" s="223"/>
      <c r="B25" s="229"/>
      <c r="C25" s="225"/>
      <c r="D25" s="226"/>
      <c r="E25" s="226"/>
      <c r="F25" s="226"/>
      <c r="G25" s="226"/>
      <c r="H25" s="226"/>
      <c r="I25" s="227">
        <v>10</v>
      </c>
      <c r="J25" s="226"/>
      <c r="K25" s="226"/>
      <c r="L25" s="226"/>
      <c r="M25" s="226"/>
      <c r="N25" s="228">
        <f>I25</f>
        <v>10</v>
      </c>
    </row>
    <row r="26" spans="1:14" x14ac:dyDescent="0.25">
      <c r="A26" s="223"/>
      <c r="B26" s="229"/>
      <c r="C26" s="225"/>
      <c r="D26" s="226"/>
      <c r="E26" s="226"/>
      <c r="F26" s="226"/>
      <c r="G26" s="226"/>
      <c r="H26" s="226"/>
      <c r="I26" s="226"/>
      <c r="J26" s="226"/>
      <c r="K26" s="226"/>
      <c r="L26" s="226"/>
      <c r="M26" s="226"/>
      <c r="N26" s="311"/>
    </row>
    <row r="27" spans="1:14" ht="51" x14ac:dyDescent="0.25">
      <c r="A27" s="223" t="s">
        <v>439</v>
      </c>
      <c r="B27" s="229" t="s">
        <v>442</v>
      </c>
      <c r="C27" s="225" t="s">
        <v>57</v>
      </c>
      <c r="D27" s="226"/>
      <c r="E27" s="226"/>
      <c r="F27" s="226"/>
      <c r="G27" s="226"/>
      <c r="H27" s="226"/>
      <c r="I27" s="227" t="s">
        <v>196</v>
      </c>
      <c r="J27" s="226"/>
      <c r="K27" s="226"/>
      <c r="L27" s="226"/>
      <c r="M27" s="226"/>
      <c r="N27" s="230">
        <f>N28</f>
        <v>10</v>
      </c>
    </row>
    <row r="28" spans="1:14" x14ac:dyDescent="0.25">
      <c r="A28" s="223"/>
      <c r="B28" s="229"/>
      <c r="C28" s="225"/>
      <c r="D28" s="226"/>
      <c r="E28" s="226"/>
      <c r="F28" s="226"/>
      <c r="G28" s="226"/>
      <c r="H28" s="226"/>
      <c r="I28" s="227">
        <v>10</v>
      </c>
      <c r="J28" s="226"/>
      <c r="K28" s="226"/>
      <c r="L28" s="226"/>
      <c r="M28" s="226"/>
      <c r="N28" s="228">
        <f>I28</f>
        <v>10</v>
      </c>
    </row>
    <row r="29" spans="1:14" x14ac:dyDescent="0.25">
      <c r="A29" s="223"/>
      <c r="B29" s="229"/>
      <c r="C29" s="225"/>
      <c r="D29" s="226"/>
      <c r="E29" s="226"/>
      <c r="F29" s="226"/>
      <c r="G29" s="226"/>
      <c r="H29" s="226"/>
      <c r="I29" s="226"/>
      <c r="J29" s="226"/>
      <c r="K29" s="226"/>
      <c r="L29" s="226"/>
      <c r="M29" s="226"/>
      <c r="N29" s="311"/>
    </row>
    <row r="30" spans="1:14" ht="63.75" x14ac:dyDescent="0.25">
      <c r="A30" s="223" t="s">
        <v>440</v>
      </c>
      <c r="B30" s="229" t="s">
        <v>443</v>
      </c>
      <c r="C30" s="225" t="s">
        <v>57</v>
      </c>
      <c r="D30" s="226"/>
      <c r="E30" s="226"/>
      <c r="F30" s="226"/>
      <c r="G30" s="226"/>
      <c r="H30" s="226"/>
      <c r="I30" s="227"/>
      <c r="J30" s="226"/>
      <c r="K30" s="226"/>
      <c r="L30" s="226"/>
      <c r="M30" s="226"/>
      <c r="N30" s="230">
        <f>N31</f>
        <v>1</v>
      </c>
    </row>
    <row r="31" spans="1:14" x14ac:dyDescent="0.25">
      <c r="A31" s="223"/>
      <c r="B31" s="229"/>
      <c r="C31" s="225"/>
      <c r="D31" s="226"/>
      <c r="E31" s="226"/>
      <c r="F31" s="226"/>
      <c r="G31" s="226"/>
      <c r="H31" s="226"/>
      <c r="I31" s="227">
        <v>1</v>
      </c>
      <c r="J31" s="226"/>
      <c r="K31" s="226"/>
      <c r="L31" s="226"/>
      <c r="M31" s="226"/>
      <c r="N31" s="228">
        <f>I31</f>
        <v>1</v>
      </c>
    </row>
    <row r="32" spans="1:14" x14ac:dyDescent="0.25">
      <c r="A32" s="223"/>
      <c r="B32" s="229"/>
      <c r="C32" s="225"/>
      <c r="D32" s="226"/>
      <c r="E32" s="226"/>
      <c r="F32" s="226"/>
      <c r="G32" s="226"/>
      <c r="H32" s="226"/>
      <c r="I32" s="226"/>
      <c r="J32" s="226"/>
      <c r="K32" s="226"/>
      <c r="L32" s="226"/>
      <c r="M32" s="226"/>
      <c r="N32" s="311"/>
    </row>
    <row r="33" spans="1:14" ht="51" x14ac:dyDescent="0.25">
      <c r="A33" s="223" t="s">
        <v>441</v>
      </c>
      <c r="B33" s="229" t="s">
        <v>444</v>
      </c>
      <c r="C33" s="225" t="s">
        <v>57</v>
      </c>
      <c r="D33" s="226"/>
      <c r="E33" s="226"/>
      <c r="F33" s="226"/>
      <c r="G33" s="226"/>
      <c r="H33" s="226"/>
      <c r="I33" s="227"/>
      <c r="J33" s="226"/>
      <c r="K33" s="226"/>
      <c r="L33" s="226"/>
      <c r="M33" s="226"/>
      <c r="N33" s="230">
        <f>N34</f>
        <v>1</v>
      </c>
    </row>
    <row r="34" spans="1:14" x14ac:dyDescent="0.25">
      <c r="A34" s="223"/>
      <c r="B34" s="229"/>
      <c r="C34" s="225"/>
      <c r="D34" s="226"/>
      <c r="E34" s="226"/>
      <c r="F34" s="226"/>
      <c r="G34" s="226"/>
      <c r="H34" s="226"/>
      <c r="I34" s="227">
        <v>1</v>
      </c>
      <c r="J34" s="226"/>
      <c r="K34" s="226"/>
      <c r="L34" s="226"/>
      <c r="M34" s="226"/>
      <c r="N34" s="228">
        <f>I34</f>
        <v>1</v>
      </c>
    </row>
    <row r="35" spans="1:14" x14ac:dyDescent="0.25">
      <c r="A35" s="223"/>
      <c r="B35" s="229"/>
      <c r="C35" s="225"/>
      <c r="D35" s="226"/>
      <c r="E35" s="226"/>
      <c r="F35" s="226"/>
      <c r="G35" s="226"/>
      <c r="H35" s="226"/>
      <c r="I35" s="227"/>
      <c r="J35" s="226"/>
      <c r="K35" s="226"/>
      <c r="L35" s="226"/>
      <c r="M35" s="226"/>
      <c r="N35" s="311"/>
    </row>
    <row r="36" spans="1:14" x14ac:dyDescent="0.25">
      <c r="A36" s="231" t="s">
        <v>31</v>
      </c>
      <c r="B36" s="224" t="s">
        <v>573</v>
      </c>
      <c r="C36" s="225"/>
      <c r="D36" s="226"/>
      <c r="E36" s="226"/>
      <c r="F36" s="226"/>
      <c r="G36" s="226"/>
      <c r="H36" s="226"/>
      <c r="I36" s="227"/>
      <c r="J36" s="226"/>
      <c r="K36" s="226"/>
      <c r="L36" s="226"/>
      <c r="M36" s="226"/>
      <c r="N36" s="311"/>
    </row>
    <row r="37" spans="1:14" ht="63.75" x14ac:dyDescent="0.25">
      <c r="A37" s="223" t="s">
        <v>32</v>
      </c>
      <c r="B37" s="229" t="s">
        <v>787</v>
      </c>
      <c r="C37" s="225" t="s">
        <v>42</v>
      </c>
      <c r="D37" s="226"/>
      <c r="E37" s="226"/>
      <c r="F37" s="226"/>
      <c r="G37" s="226"/>
      <c r="H37" s="226"/>
      <c r="I37" s="227"/>
      <c r="J37" s="226"/>
      <c r="K37" s="226"/>
      <c r="L37" s="226"/>
      <c r="M37" s="226"/>
      <c r="N37" s="425">
        <f>N38</f>
        <v>141</v>
      </c>
    </row>
    <row r="38" spans="1:14" x14ac:dyDescent="0.25">
      <c r="A38" s="231"/>
      <c r="B38" s="224"/>
      <c r="C38" s="225"/>
      <c r="D38" s="226"/>
      <c r="E38" s="226"/>
      <c r="F38" s="226">
        <v>3</v>
      </c>
      <c r="G38" s="226"/>
      <c r="H38" s="226"/>
      <c r="I38" s="227">
        <v>47</v>
      </c>
      <c r="J38" s="226"/>
      <c r="K38" s="226"/>
      <c r="L38" s="226"/>
      <c r="M38" s="226"/>
      <c r="N38" s="311">
        <f>F38*I38</f>
        <v>141</v>
      </c>
    </row>
    <row r="39" spans="1:14" x14ac:dyDescent="0.25">
      <c r="A39" s="231"/>
      <c r="B39" s="224"/>
      <c r="C39" s="225"/>
      <c r="D39" s="226"/>
      <c r="E39" s="226"/>
      <c r="F39" s="226"/>
      <c r="G39" s="226"/>
      <c r="H39" s="226"/>
      <c r="I39" s="227"/>
      <c r="J39" s="226"/>
      <c r="K39" s="226"/>
      <c r="L39" s="226"/>
      <c r="M39" s="226"/>
      <c r="N39" s="311"/>
    </row>
    <row r="40" spans="1:14" ht="51" x14ac:dyDescent="0.25">
      <c r="A40" s="223" t="s">
        <v>39</v>
      </c>
      <c r="B40" s="229" t="s">
        <v>834</v>
      </c>
      <c r="C40" s="225" t="s">
        <v>30</v>
      </c>
      <c r="D40" s="226"/>
      <c r="E40" s="226"/>
      <c r="F40" s="226"/>
      <c r="G40" s="226"/>
      <c r="H40" s="226"/>
      <c r="I40" s="227"/>
      <c r="J40" s="226"/>
      <c r="K40" s="226"/>
      <c r="L40" s="226"/>
      <c r="M40" s="226"/>
      <c r="N40" s="425">
        <f>N41</f>
        <v>47</v>
      </c>
    </row>
    <row r="41" spans="1:14" x14ac:dyDescent="0.25">
      <c r="A41" s="231"/>
      <c r="B41" s="224"/>
      <c r="C41" s="225"/>
      <c r="D41" s="226"/>
      <c r="E41" s="226"/>
      <c r="F41" s="226"/>
      <c r="G41" s="226">
        <v>0.3</v>
      </c>
      <c r="H41" s="226"/>
      <c r="I41" s="227">
        <v>47</v>
      </c>
      <c r="J41" s="226"/>
      <c r="K41" s="226"/>
      <c r="L41" s="226"/>
      <c r="M41" s="226"/>
      <c r="N41" s="311">
        <f>I41</f>
        <v>47</v>
      </c>
    </row>
    <row r="42" spans="1:14" x14ac:dyDescent="0.25">
      <c r="A42" s="231"/>
      <c r="B42" s="224"/>
      <c r="C42" s="225"/>
      <c r="D42" s="226"/>
      <c r="E42" s="226"/>
      <c r="F42" s="226"/>
      <c r="G42" s="226"/>
      <c r="H42" s="226"/>
      <c r="I42" s="227"/>
      <c r="J42" s="226"/>
      <c r="K42" s="226"/>
      <c r="L42" s="226"/>
      <c r="M42" s="226"/>
      <c r="N42" s="311"/>
    </row>
    <row r="43" spans="1:14" ht="38.25" x14ac:dyDescent="0.25">
      <c r="A43" s="223" t="s">
        <v>46</v>
      </c>
      <c r="B43" s="229" t="s">
        <v>579</v>
      </c>
      <c r="C43" s="225" t="s">
        <v>57</v>
      </c>
      <c r="D43" s="226"/>
      <c r="E43" s="226"/>
      <c r="F43" s="226"/>
      <c r="G43" s="226"/>
      <c r="H43" s="226"/>
      <c r="I43" s="227"/>
      <c r="J43" s="226"/>
      <c r="K43" s="226"/>
      <c r="L43" s="226"/>
      <c r="M43" s="226"/>
      <c r="N43" s="425">
        <f>N44</f>
        <v>47</v>
      </c>
    </row>
    <row r="44" spans="1:14" x14ac:dyDescent="0.25">
      <c r="A44" s="231"/>
      <c r="B44" s="224"/>
      <c r="C44" s="225"/>
      <c r="D44" s="226"/>
      <c r="E44" s="226"/>
      <c r="F44" s="226"/>
      <c r="G44" s="226"/>
      <c r="H44" s="226"/>
      <c r="I44" s="227">
        <v>47</v>
      </c>
      <c r="J44" s="226"/>
      <c r="K44" s="226"/>
      <c r="L44" s="226"/>
      <c r="M44" s="226"/>
      <c r="N44" s="311">
        <f>I44</f>
        <v>47</v>
      </c>
    </row>
    <row r="45" spans="1:14" x14ac:dyDescent="0.25">
      <c r="A45" s="231"/>
      <c r="B45" s="224"/>
      <c r="C45" s="225"/>
      <c r="D45" s="226"/>
      <c r="E45" s="226"/>
      <c r="F45" s="226"/>
      <c r="G45" s="226"/>
      <c r="H45" s="226"/>
      <c r="I45" s="227"/>
      <c r="J45" s="226"/>
      <c r="K45" s="226"/>
      <c r="L45" s="226"/>
      <c r="M45" s="226"/>
      <c r="N45" s="311"/>
    </row>
    <row r="46" spans="1:14" ht="38.25" x14ac:dyDescent="0.25">
      <c r="A46" s="223" t="s">
        <v>580</v>
      </c>
      <c r="B46" s="229" t="s">
        <v>582</v>
      </c>
      <c r="C46" s="225" t="s">
        <v>34</v>
      </c>
      <c r="D46" s="226"/>
      <c r="E46" s="226"/>
      <c r="F46" s="226"/>
      <c r="G46" s="226"/>
      <c r="H46" s="226"/>
      <c r="I46" s="227"/>
      <c r="J46" s="226"/>
      <c r="K46" s="226"/>
      <c r="L46" s="226"/>
      <c r="M46" s="226"/>
      <c r="N46" s="425">
        <f>N47</f>
        <v>1.76</v>
      </c>
    </row>
    <row r="47" spans="1:14" x14ac:dyDescent="0.25">
      <c r="A47" s="231"/>
      <c r="B47" s="224"/>
      <c r="C47" s="225"/>
      <c r="D47" s="226">
        <v>0.25</v>
      </c>
      <c r="E47" s="226">
        <v>0.25</v>
      </c>
      <c r="F47" s="226">
        <v>0.6</v>
      </c>
      <c r="G47" s="226"/>
      <c r="H47" s="226"/>
      <c r="I47" s="227">
        <v>47</v>
      </c>
      <c r="J47" s="226"/>
      <c r="K47" s="226"/>
      <c r="L47" s="226"/>
      <c r="M47" s="226"/>
      <c r="N47" s="311">
        <f>D47*I47*E47*F47</f>
        <v>1.76</v>
      </c>
    </row>
    <row r="48" spans="1:14" x14ac:dyDescent="0.25">
      <c r="A48" s="231"/>
      <c r="B48" s="224"/>
      <c r="C48" s="225"/>
      <c r="D48" s="226"/>
      <c r="E48" s="226"/>
      <c r="F48" s="226"/>
      <c r="G48" s="226"/>
      <c r="H48" s="226"/>
      <c r="I48" s="227"/>
      <c r="J48" s="226"/>
      <c r="K48" s="226"/>
      <c r="L48" s="226"/>
      <c r="M48" s="226"/>
      <c r="N48" s="311"/>
    </row>
    <row r="49" spans="1:14" ht="51" x14ac:dyDescent="0.25">
      <c r="A49" s="223" t="s">
        <v>583</v>
      </c>
      <c r="B49" s="229" t="s">
        <v>585</v>
      </c>
      <c r="C49" s="225"/>
      <c r="D49" s="226"/>
      <c r="E49" s="226"/>
      <c r="F49" s="226"/>
      <c r="G49" s="226"/>
      <c r="H49" s="226"/>
      <c r="I49" s="227"/>
      <c r="J49" s="226"/>
      <c r="K49" s="226"/>
      <c r="L49" s="226"/>
      <c r="M49" s="226"/>
      <c r="N49" s="425">
        <f>N50</f>
        <v>1.76</v>
      </c>
    </row>
    <row r="50" spans="1:14" x14ac:dyDescent="0.25">
      <c r="A50" s="231"/>
      <c r="B50" s="224"/>
      <c r="C50" s="225"/>
      <c r="D50" s="226">
        <v>0.25</v>
      </c>
      <c r="E50" s="226">
        <v>0.25</v>
      </c>
      <c r="F50" s="226">
        <v>0.6</v>
      </c>
      <c r="G50" s="226"/>
      <c r="H50" s="226"/>
      <c r="I50" s="227">
        <v>47</v>
      </c>
      <c r="J50" s="226"/>
      <c r="K50" s="226"/>
      <c r="L50" s="226"/>
      <c r="M50" s="226"/>
      <c r="N50" s="311">
        <f>D50*I50*E50*F50</f>
        <v>1.76</v>
      </c>
    </row>
    <row r="51" spans="1:14" x14ac:dyDescent="0.25">
      <c r="A51" s="223"/>
      <c r="B51" s="229"/>
      <c r="C51" s="225"/>
      <c r="D51" s="226"/>
      <c r="E51" s="226"/>
      <c r="F51" s="226"/>
      <c r="G51" s="226"/>
      <c r="H51" s="226"/>
      <c r="I51" s="227"/>
      <c r="J51" s="226"/>
      <c r="K51" s="226"/>
      <c r="L51" s="226"/>
      <c r="M51" s="226"/>
      <c r="N51" s="311"/>
    </row>
    <row r="52" spans="1:14" x14ac:dyDescent="0.25">
      <c r="A52" s="885" t="s">
        <v>464</v>
      </c>
      <c r="B52" s="886"/>
      <c r="C52" s="886"/>
      <c r="D52" s="886"/>
      <c r="E52" s="886"/>
      <c r="F52" s="886"/>
      <c r="G52" s="886"/>
      <c r="H52" s="886"/>
      <c r="I52" s="886"/>
      <c r="J52" s="886"/>
      <c r="K52" s="886"/>
      <c r="L52" s="886"/>
      <c r="M52" s="886"/>
      <c r="N52" s="887"/>
    </row>
    <row r="53" spans="1:14" x14ac:dyDescent="0.25">
      <c r="A53" s="232" t="s">
        <v>60</v>
      </c>
      <c r="B53" s="233" t="s">
        <v>235</v>
      </c>
      <c r="C53" s="234"/>
      <c r="D53" s="235"/>
      <c r="E53" s="235"/>
      <c r="F53" s="235"/>
      <c r="G53" s="235"/>
      <c r="H53" s="235"/>
      <c r="I53" s="235"/>
      <c r="J53" s="235"/>
      <c r="K53" s="235"/>
      <c r="L53" s="235"/>
      <c r="M53" s="235"/>
      <c r="N53" s="236"/>
    </row>
    <row r="54" spans="1:14" x14ac:dyDescent="0.25">
      <c r="A54" s="231" t="s">
        <v>61</v>
      </c>
      <c r="B54" s="224" t="s">
        <v>33</v>
      </c>
      <c r="C54" s="225"/>
      <c r="D54" s="226"/>
      <c r="E54" s="226"/>
      <c r="F54" s="226"/>
      <c r="G54" s="226"/>
      <c r="H54" s="226"/>
      <c r="I54" s="226"/>
      <c r="J54" s="226"/>
      <c r="K54" s="226"/>
      <c r="L54" s="226"/>
      <c r="M54" s="226"/>
      <c r="N54" s="230"/>
    </row>
    <row r="55" spans="1:14" ht="51" x14ac:dyDescent="0.25">
      <c r="A55" s="223" t="s">
        <v>62</v>
      </c>
      <c r="B55" s="229" t="s">
        <v>270</v>
      </c>
      <c r="C55" s="225" t="s">
        <v>34</v>
      </c>
      <c r="D55" s="226"/>
      <c r="E55" s="226"/>
      <c r="F55" s="226"/>
      <c r="G55" s="226"/>
      <c r="H55" s="226"/>
      <c r="I55" s="226"/>
      <c r="J55" s="226"/>
      <c r="K55" s="226"/>
      <c r="L55" s="226"/>
      <c r="M55" s="226"/>
      <c r="N55" s="230">
        <f>N56</f>
        <v>37.25</v>
      </c>
    </row>
    <row r="56" spans="1:14" x14ac:dyDescent="0.25">
      <c r="A56" s="223"/>
      <c r="B56" s="224" t="s">
        <v>279</v>
      </c>
      <c r="C56" s="225"/>
      <c r="D56" s="226"/>
      <c r="E56" s="226"/>
      <c r="F56" s="226"/>
      <c r="G56" s="226"/>
      <c r="H56" s="226"/>
      <c r="I56" s="226"/>
      <c r="J56" s="226"/>
      <c r="K56" s="226"/>
      <c r="L56" s="226"/>
      <c r="M56" s="226">
        <f>'MAPA DE CUBAÇÃO'!I13</f>
        <v>37.25</v>
      </c>
      <c r="N56" s="228">
        <f>M56</f>
        <v>37.25</v>
      </c>
    </row>
    <row r="57" spans="1:14" x14ac:dyDescent="0.25">
      <c r="A57" s="223"/>
      <c r="B57" s="229"/>
      <c r="C57" s="225"/>
      <c r="D57" s="226"/>
      <c r="E57" s="226"/>
      <c r="F57" s="226"/>
      <c r="G57" s="226"/>
      <c r="H57" s="226"/>
      <c r="I57" s="226"/>
      <c r="J57" s="226"/>
      <c r="K57" s="226"/>
      <c r="L57" s="226"/>
      <c r="M57" s="226"/>
      <c r="N57" s="230"/>
    </row>
    <row r="58" spans="1:14" ht="76.5" x14ac:dyDescent="0.25">
      <c r="A58" s="223" t="s">
        <v>63</v>
      </c>
      <c r="B58" s="229" t="s">
        <v>45</v>
      </c>
      <c r="C58" s="225" t="s">
        <v>34</v>
      </c>
      <c r="D58" s="226"/>
      <c r="E58" s="226"/>
      <c r="F58" s="226"/>
      <c r="G58" s="226"/>
      <c r="H58" s="226"/>
      <c r="I58" s="226"/>
      <c r="J58" s="226"/>
      <c r="K58" s="239" t="s">
        <v>280</v>
      </c>
      <c r="L58" s="226"/>
      <c r="M58" s="226"/>
      <c r="N58" s="230">
        <f>N59</f>
        <v>46.56</v>
      </c>
    </row>
    <row r="59" spans="1:14" x14ac:dyDescent="0.25">
      <c r="A59" s="223"/>
      <c r="B59" s="224" t="s">
        <v>279</v>
      </c>
      <c r="C59" s="225"/>
      <c r="D59" s="226"/>
      <c r="E59" s="226"/>
      <c r="F59" s="226"/>
      <c r="G59" s="226"/>
      <c r="H59" s="226"/>
      <c r="I59" s="226"/>
      <c r="J59" s="226"/>
      <c r="K59" s="238">
        <v>1.25</v>
      </c>
      <c r="L59" s="226"/>
      <c r="M59" s="226">
        <f>N56</f>
        <v>37.25</v>
      </c>
      <c r="N59" s="228">
        <f>K59*M59</f>
        <v>46.56</v>
      </c>
    </row>
    <row r="60" spans="1:14" x14ac:dyDescent="0.25">
      <c r="A60" s="223"/>
      <c r="B60" s="229"/>
      <c r="C60" s="225"/>
      <c r="D60" s="226"/>
      <c r="E60" s="226"/>
      <c r="F60" s="226"/>
      <c r="G60" s="226"/>
      <c r="H60" s="226"/>
      <c r="I60" s="226"/>
      <c r="J60" s="226"/>
      <c r="K60" s="226"/>
      <c r="L60" s="226"/>
      <c r="M60" s="226"/>
      <c r="N60" s="230"/>
    </row>
    <row r="61" spans="1:14" ht="63.75" x14ac:dyDescent="0.25">
      <c r="A61" s="223" t="s">
        <v>64</v>
      </c>
      <c r="B61" s="229" t="s">
        <v>35</v>
      </c>
      <c r="C61" s="225" t="s">
        <v>36</v>
      </c>
      <c r="D61" s="226"/>
      <c r="E61" s="237" t="s">
        <v>281</v>
      </c>
      <c r="F61" s="226"/>
      <c r="G61" s="226"/>
      <c r="H61" s="226"/>
      <c r="I61" s="226"/>
      <c r="J61" s="226"/>
      <c r="K61" s="315"/>
      <c r="L61" s="226"/>
      <c r="M61" s="226"/>
      <c r="N61" s="230">
        <f>N62</f>
        <v>232.8</v>
      </c>
    </row>
    <row r="62" spans="1:14" x14ac:dyDescent="0.25">
      <c r="A62" s="223"/>
      <c r="B62" s="224" t="s">
        <v>279</v>
      </c>
      <c r="C62" s="225"/>
      <c r="D62" s="226"/>
      <c r="E62" s="226">
        <v>5</v>
      </c>
      <c r="F62" s="226"/>
      <c r="G62" s="226"/>
      <c r="H62" s="226"/>
      <c r="I62" s="226"/>
      <c r="J62" s="226"/>
      <c r="K62" s="316"/>
      <c r="L62" s="226"/>
      <c r="M62" s="226">
        <f>N59</f>
        <v>46.56</v>
      </c>
      <c r="N62" s="228">
        <f>M62*E62</f>
        <v>232.8</v>
      </c>
    </row>
    <row r="63" spans="1:14" x14ac:dyDescent="0.25">
      <c r="A63" s="223"/>
      <c r="B63" s="229"/>
      <c r="C63" s="225"/>
      <c r="D63" s="226"/>
      <c r="E63" s="226"/>
      <c r="F63" s="226"/>
      <c r="G63" s="226"/>
      <c r="H63" s="226"/>
      <c r="I63" s="226"/>
      <c r="J63" s="226"/>
      <c r="K63" s="226"/>
      <c r="L63" s="226"/>
      <c r="M63" s="226"/>
      <c r="N63" s="230"/>
    </row>
    <row r="64" spans="1:14" x14ac:dyDescent="0.25">
      <c r="A64" s="231" t="s">
        <v>65</v>
      </c>
      <c r="B64" s="224" t="s">
        <v>40</v>
      </c>
      <c r="C64" s="225"/>
      <c r="D64" s="226"/>
      <c r="E64" s="226"/>
      <c r="F64" s="226"/>
      <c r="G64" s="226"/>
      <c r="H64" s="226"/>
      <c r="I64" s="226"/>
      <c r="J64" s="226"/>
      <c r="K64" s="226"/>
      <c r="L64" s="226"/>
      <c r="M64" s="226"/>
      <c r="N64" s="230"/>
    </row>
    <row r="65" spans="1:14" ht="25.5" x14ac:dyDescent="0.25">
      <c r="A65" s="223" t="s">
        <v>66</v>
      </c>
      <c r="B65" s="229" t="s">
        <v>41</v>
      </c>
      <c r="C65" s="225" t="s">
        <v>42</v>
      </c>
      <c r="D65" s="226"/>
      <c r="E65" s="226"/>
      <c r="F65" s="226"/>
      <c r="G65" s="226"/>
      <c r="H65" s="226"/>
      <c r="I65" s="226"/>
      <c r="J65" s="226"/>
      <c r="K65" s="226"/>
      <c r="L65" s="226"/>
      <c r="M65" s="226"/>
      <c r="N65" s="230">
        <f>N66</f>
        <v>53.22</v>
      </c>
    </row>
    <row r="66" spans="1:14" x14ac:dyDescent="0.25">
      <c r="A66" s="223"/>
      <c r="B66" s="229"/>
      <c r="C66" s="225"/>
      <c r="D66" s="226"/>
      <c r="E66" s="226">
        <f>'MAPA DE CUBAÇÃO'!H18</f>
        <v>53.22</v>
      </c>
      <c r="F66" s="226"/>
      <c r="G66" s="226"/>
      <c r="H66" s="226"/>
      <c r="I66" s="226"/>
      <c r="J66" s="226"/>
      <c r="K66" s="226"/>
      <c r="L66" s="226"/>
      <c r="M66" s="226"/>
      <c r="N66" s="228">
        <f>E66</f>
        <v>53.22</v>
      </c>
    </row>
    <row r="67" spans="1:14" ht="51" x14ac:dyDescent="0.25">
      <c r="A67" s="223" t="s">
        <v>67</v>
      </c>
      <c r="B67" s="229" t="s">
        <v>38</v>
      </c>
      <c r="C67" s="225" t="s">
        <v>30</v>
      </c>
      <c r="D67" s="226"/>
      <c r="E67" s="226"/>
      <c r="F67" s="226"/>
      <c r="G67" s="226"/>
      <c r="H67" s="226"/>
      <c r="I67" s="226"/>
      <c r="J67" s="226"/>
      <c r="K67" s="226"/>
      <c r="L67" s="226"/>
      <c r="M67" s="226"/>
      <c r="N67" s="230">
        <f>N68</f>
        <v>340.22</v>
      </c>
    </row>
    <row r="68" spans="1:14" x14ac:dyDescent="0.25">
      <c r="A68" s="223"/>
      <c r="B68" s="229"/>
      <c r="C68" s="225"/>
      <c r="D68" s="226"/>
      <c r="E68" s="226"/>
      <c r="F68" s="226"/>
      <c r="G68" s="226">
        <v>340.22</v>
      </c>
      <c r="H68" s="226"/>
      <c r="I68" s="226"/>
      <c r="J68" s="226"/>
      <c r="K68" s="226"/>
      <c r="L68" s="226"/>
      <c r="M68" s="226"/>
      <c r="N68" s="228">
        <f>G68</f>
        <v>340.22</v>
      </c>
    </row>
    <row r="69" spans="1:14" x14ac:dyDescent="0.25">
      <c r="A69" s="223"/>
      <c r="B69" s="229"/>
      <c r="C69" s="225"/>
      <c r="D69" s="226"/>
      <c r="E69" s="226"/>
      <c r="F69" s="226"/>
      <c r="G69" s="226"/>
      <c r="H69" s="226"/>
      <c r="I69" s="226"/>
      <c r="J69" s="226"/>
      <c r="K69" s="226"/>
      <c r="L69" s="226"/>
      <c r="M69" s="226"/>
      <c r="N69" s="230"/>
    </row>
    <row r="70" spans="1:14" ht="76.5" x14ac:dyDescent="0.25">
      <c r="A70" s="223" t="s">
        <v>68</v>
      </c>
      <c r="B70" s="229" t="s">
        <v>44</v>
      </c>
      <c r="C70" s="225" t="s">
        <v>30</v>
      </c>
      <c r="D70" s="226"/>
      <c r="E70" s="226"/>
      <c r="F70" s="226"/>
      <c r="G70" s="226"/>
      <c r="H70" s="226"/>
      <c r="I70" s="226"/>
      <c r="J70" s="226"/>
      <c r="K70" s="226"/>
      <c r="L70" s="226"/>
      <c r="M70" s="226"/>
      <c r="N70" s="230">
        <f>N71</f>
        <v>340.22</v>
      </c>
    </row>
    <row r="71" spans="1:14" x14ac:dyDescent="0.25">
      <c r="A71" s="223"/>
      <c r="B71" s="229"/>
      <c r="C71" s="225"/>
      <c r="D71" s="226"/>
      <c r="E71" s="226"/>
      <c r="F71" s="226"/>
      <c r="G71" s="226">
        <v>340.22</v>
      </c>
      <c r="H71" s="226"/>
      <c r="I71" s="226"/>
      <c r="J71" s="226"/>
      <c r="K71" s="226"/>
      <c r="L71" s="226"/>
      <c r="M71" s="226"/>
      <c r="N71" s="228">
        <f>G71</f>
        <v>340.22</v>
      </c>
    </row>
    <row r="72" spans="1:14" x14ac:dyDescent="0.25">
      <c r="A72" s="223"/>
      <c r="B72" s="229"/>
      <c r="C72" s="225"/>
      <c r="D72" s="226"/>
      <c r="E72" s="226"/>
      <c r="F72" s="226"/>
      <c r="G72" s="226"/>
      <c r="H72" s="226"/>
      <c r="I72" s="226"/>
      <c r="J72" s="226"/>
      <c r="K72" s="226"/>
      <c r="L72" s="226"/>
      <c r="M72" s="226"/>
      <c r="N72" s="230"/>
    </row>
    <row r="73" spans="1:14" ht="102" x14ac:dyDescent="0.25">
      <c r="A73" s="223" t="s">
        <v>69</v>
      </c>
      <c r="B73" s="229" t="s">
        <v>49</v>
      </c>
      <c r="C73" s="225" t="s">
        <v>42</v>
      </c>
      <c r="D73" s="226"/>
      <c r="E73" s="226"/>
      <c r="F73" s="226"/>
      <c r="G73" s="226"/>
      <c r="H73" s="226"/>
      <c r="I73" s="226"/>
      <c r="J73" s="226"/>
      <c r="K73" s="226"/>
      <c r="L73" s="226"/>
      <c r="M73" s="226"/>
      <c r="N73" s="230">
        <f>N74</f>
        <v>111.72</v>
      </c>
    </row>
    <row r="74" spans="1:14" x14ac:dyDescent="0.25">
      <c r="A74" s="223"/>
      <c r="B74" s="229"/>
      <c r="C74" s="225"/>
      <c r="D74" s="226"/>
      <c r="E74" s="226">
        <v>111.72</v>
      </c>
      <c r="F74" s="226"/>
      <c r="G74" s="226"/>
      <c r="H74" s="226"/>
      <c r="I74" s="226"/>
      <c r="J74" s="226"/>
      <c r="K74" s="226"/>
      <c r="L74" s="226"/>
      <c r="M74" s="226"/>
      <c r="N74" s="228">
        <f>E74</f>
        <v>111.72</v>
      </c>
    </row>
    <row r="75" spans="1:14" x14ac:dyDescent="0.25">
      <c r="A75" s="223"/>
      <c r="B75" s="229"/>
      <c r="C75" s="225"/>
      <c r="D75" s="226"/>
      <c r="E75" s="226"/>
      <c r="F75" s="226"/>
      <c r="G75" s="226"/>
      <c r="H75" s="226"/>
      <c r="I75" s="226"/>
      <c r="J75" s="226"/>
      <c r="K75" s="226"/>
      <c r="L75" s="226"/>
      <c r="M75" s="226"/>
      <c r="N75" s="230"/>
    </row>
    <row r="76" spans="1:14" x14ac:dyDescent="0.25">
      <c r="A76" s="232" t="s">
        <v>71</v>
      </c>
      <c r="B76" s="233" t="s">
        <v>158</v>
      </c>
      <c r="C76" s="234"/>
      <c r="D76" s="235"/>
      <c r="E76" s="235"/>
      <c r="F76" s="235"/>
      <c r="G76" s="235"/>
      <c r="H76" s="235"/>
      <c r="I76" s="235"/>
      <c r="J76" s="235"/>
      <c r="K76" s="235"/>
      <c r="L76" s="235"/>
      <c r="M76" s="235"/>
      <c r="N76" s="236"/>
    </row>
    <row r="77" spans="1:14" x14ac:dyDescent="0.25">
      <c r="A77" s="231" t="s">
        <v>72</v>
      </c>
      <c r="B77" s="224" t="s">
        <v>33</v>
      </c>
      <c r="C77" s="225"/>
      <c r="D77" s="226"/>
      <c r="E77" s="226"/>
      <c r="F77" s="226"/>
      <c r="G77" s="226"/>
      <c r="H77" s="226"/>
      <c r="I77" s="226"/>
      <c r="J77" s="226"/>
      <c r="K77" s="226"/>
      <c r="L77" s="226"/>
      <c r="M77" s="226"/>
      <c r="N77" s="230"/>
    </row>
    <row r="78" spans="1:14" ht="51" x14ac:dyDescent="0.25">
      <c r="A78" s="223" t="s">
        <v>73</v>
      </c>
      <c r="B78" s="229" t="s">
        <v>270</v>
      </c>
      <c r="C78" s="225" t="s">
        <v>34</v>
      </c>
      <c r="D78" s="226"/>
      <c r="E78" s="226"/>
      <c r="F78" s="226"/>
      <c r="G78" s="226"/>
      <c r="H78" s="226"/>
      <c r="I78" s="226"/>
      <c r="J78" s="226"/>
      <c r="K78" s="226"/>
      <c r="L78" s="226"/>
      <c r="M78" s="226"/>
      <c r="N78" s="230">
        <f>N79</f>
        <v>47.24</v>
      </c>
    </row>
    <row r="79" spans="1:14" x14ac:dyDescent="0.25">
      <c r="A79" s="223"/>
      <c r="B79" s="224" t="s">
        <v>279</v>
      </c>
      <c r="C79" s="225"/>
      <c r="D79" s="226"/>
      <c r="E79" s="226"/>
      <c r="F79" s="226"/>
      <c r="G79" s="226"/>
      <c r="H79" s="226"/>
      <c r="I79" s="226"/>
      <c r="J79" s="226"/>
      <c r="K79" s="226"/>
      <c r="L79" s="226"/>
      <c r="M79" s="226">
        <f>'MAPA DE CUBAÇÃO'!I19</f>
        <v>47.24</v>
      </c>
      <c r="N79" s="228">
        <f>M79</f>
        <v>47.24</v>
      </c>
    </row>
    <row r="80" spans="1:14" x14ac:dyDescent="0.25">
      <c r="A80" s="223"/>
      <c r="B80" s="229"/>
      <c r="C80" s="225"/>
      <c r="D80" s="226"/>
      <c r="E80" s="226"/>
      <c r="F80" s="226"/>
      <c r="G80" s="226"/>
      <c r="H80" s="226"/>
      <c r="I80" s="226"/>
      <c r="J80" s="226"/>
      <c r="K80" s="226"/>
      <c r="L80" s="226"/>
      <c r="M80" s="226"/>
      <c r="N80" s="230"/>
    </row>
    <row r="81" spans="1:14" ht="76.5" x14ac:dyDescent="0.25">
      <c r="A81" s="223" t="s">
        <v>74</v>
      </c>
      <c r="B81" s="229" t="s">
        <v>45</v>
      </c>
      <c r="C81" s="225" t="s">
        <v>34</v>
      </c>
      <c r="D81" s="226"/>
      <c r="E81" s="226"/>
      <c r="F81" s="226"/>
      <c r="G81" s="226"/>
      <c r="H81" s="226"/>
      <c r="I81" s="226"/>
      <c r="J81" s="226"/>
      <c r="K81" s="239" t="s">
        <v>280</v>
      </c>
      <c r="L81" s="226"/>
      <c r="M81" s="226"/>
      <c r="N81" s="230">
        <f>N82</f>
        <v>59.05</v>
      </c>
    </row>
    <row r="82" spans="1:14" x14ac:dyDescent="0.25">
      <c r="A82" s="223"/>
      <c r="B82" s="224" t="s">
        <v>279</v>
      </c>
      <c r="C82" s="225"/>
      <c r="D82" s="226"/>
      <c r="E82" s="226"/>
      <c r="F82" s="226"/>
      <c r="G82" s="226"/>
      <c r="H82" s="226"/>
      <c r="I82" s="226"/>
      <c r="J82" s="226"/>
      <c r="K82" s="238">
        <v>1.25</v>
      </c>
      <c r="L82" s="226"/>
      <c r="M82" s="226">
        <f>N79</f>
        <v>47.24</v>
      </c>
      <c r="N82" s="228">
        <f>K82*M82</f>
        <v>59.05</v>
      </c>
    </row>
    <row r="83" spans="1:14" x14ac:dyDescent="0.25">
      <c r="A83" s="223"/>
      <c r="B83" s="229"/>
      <c r="C83" s="225"/>
      <c r="D83" s="226"/>
      <c r="E83" s="226"/>
      <c r="F83" s="226"/>
      <c r="G83" s="226"/>
      <c r="H83" s="226"/>
      <c r="I83" s="226"/>
      <c r="J83" s="226"/>
      <c r="K83" s="226"/>
      <c r="L83" s="226"/>
      <c r="M83" s="226"/>
      <c r="N83" s="230"/>
    </row>
    <row r="84" spans="1:14" ht="63.75" x14ac:dyDescent="0.25">
      <c r="A84" s="223" t="s">
        <v>75</v>
      </c>
      <c r="B84" s="229" t="s">
        <v>35</v>
      </c>
      <c r="C84" s="225" t="s">
        <v>36</v>
      </c>
      <c r="D84" s="226"/>
      <c r="E84" s="237" t="s">
        <v>281</v>
      </c>
      <c r="F84" s="226"/>
      <c r="G84" s="226"/>
      <c r="H84" s="226"/>
      <c r="I84" s="226"/>
      <c r="J84" s="226"/>
      <c r="K84" s="315"/>
      <c r="L84" s="226"/>
      <c r="M84" s="226"/>
      <c r="N84" s="230">
        <f>N85</f>
        <v>295.25</v>
      </c>
    </row>
    <row r="85" spans="1:14" x14ac:dyDescent="0.25">
      <c r="A85" s="223"/>
      <c r="B85" s="224" t="s">
        <v>279</v>
      </c>
      <c r="C85" s="225"/>
      <c r="D85" s="226"/>
      <c r="E85" s="226">
        <v>5</v>
      </c>
      <c r="F85" s="226"/>
      <c r="G85" s="226"/>
      <c r="H85" s="226"/>
      <c r="I85" s="226"/>
      <c r="J85" s="226"/>
      <c r="K85" s="316"/>
      <c r="L85" s="226"/>
      <c r="M85" s="226">
        <f>N82</f>
        <v>59.05</v>
      </c>
      <c r="N85" s="228">
        <f>M85*E85</f>
        <v>295.25</v>
      </c>
    </row>
    <row r="86" spans="1:14" x14ac:dyDescent="0.25">
      <c r="A86" s="223"/>
      <c r="B86" s="229"/>
      <c r="C86" s="225"/>
      <c r="D86" s="226"/>
      <c r="E86" s="226"/>
      <c r="F86" s="226"/>
      <c r="G86" s="226"/>
      <c r="H86" s="226"/>
      <c r="I86" s="226"/>
      <c r="J86" s="226"/>
      <c r="K86" s="226"/>
      <c r="L86" s="226"/>
      <c r="M86" s="226"/>
      <c r="N86" s="230"/>
    </row>
    <row r="87" spans="1:14" x14ac:dyDescent="0.25">
      <c r="A87" s="231" t="s">
        <v>76</v>
      </c>
      <c r="B87" s="224" t="s">
        <v>40</v>
      </c>
      <c r="C87" s="225"/>
      <c r="D87" s="226"/>
      <c r="E87" s="226"/>
      <c r="F87" s="226"/>
      <c r="G87" s="226"/>
      <c r="H87" s="226"/>
      <c r="I87" s="226"/>
      <c r="J87" s="226"/>
      <c r="K87" s="226"/>
      <c r="L87" s="226"/>
      <c r="M87" s="226"/>
      <c r="N87" s="230"/>
    </row>
    <row r="88" spans="1:14" ht="25.5" x14ac:dyDescent="0.25">
      <c r="A88" s="223" t="s">
        <v>77</v>
      </c>
      <c r="B88" s="229" t="s">
        <v>41</v>
      </c>
      <c r="C88" s="225" t="s">
        <v>42</v>
      </c>
      <c r="D88" s="226"/>
      <c r="E88" s="226"/>
      <c r="F88" s="226"/>
      <c r="G88" s="226"/>
      <c r="H88" s="226"/>
      <c r="I88" s="226"/>
      <c r="J88" s="226"/>
      <c r="K88" s="226"/>
      <c r="L88" s="226"/>
      <c r="M88" s="226"/>
      <c r="N88" s="230">
        <f>N89</f>
        <v>67.48</v>
      </c>
    </row>
    <row r="89" spans="1:14" x14ac:dyDescent="0.25">
      <c r="A89" s="223"/>
      <c r="B89" s="229"/>
      <c r="C89" s="225"/>
      <c r="D89" s="226"/>
      <c r="E89" s="226">
        <f>'MAPA DE CUBAÇÃO'!H25</f>
        <v>67.48</v>
      </c>
      <c r="F89" s="226"/>
      <c r="G89" s="226"/>
      <c r="H89" s="226"/>
      <c r="I89" s="226"/>
      <c r="J89" s="226"/>
      <c r="K89" s="226"/>
      <c r="L89" s="226"/>
      <c r="M89" s="226"/>
      <c r="N89" s="228">
        <f>E89</f>
        <v>67.48</v>
      </c>
    </row>
    <row r="90" spans="1:14" x14ac:dyDescent="0.25">
      <c r="A90" s="223"/>
      <c r="B90" s="229"/>
      <c r="C90" s="225"/>
      <c r="D90" s="226"/>
      <c r="E90" s="226"/>
      <c r="F90" s="226"/>
      <c r="G90" s="226"/>
      <c r="H90" s="226"/>
      <c r="I90" s="226"/>
      <c r="J90" s="226"/>
      <c r="K90" s="226"/>
      <c r="L90" s="226"/>
      <c r="M90" s="226"/>
      <c r="N90" s="228"/>
    </row>
    <row r="91" spans="1:14" ht="51" x14ac:dyDescent="0.25">
      <c r="A91" s="223" t="s">
        <v>78</v>
      </c>
      <c r="B91" s="229" t="s">
        <v>38</v>
      </c>
      <c r="C91" s="225" t="s">
        <v>30</v>
      </c>
      <c r="D91" s="226"/>
      <c r="E91" s="226"/>
      <c r="F91" s="226"/>
      <c r="G91" s="226"/>
      <c r="H91" s="226"/>
      <c r="I91" s="226"/>
      <c r="J91" s="226"/>
      <c r="K91" s="226"/>
      <c r="L91" s="226"/>
      <c r="M91" s="226"/>
      <c r="N91" s="230">
        <f>N92</f>
        <v>522.41</v>
      </c>
    </row>
    <row r="92" spans="1:14" x14ac:dyDescent="0.25">
      <c r="A92" s="223"/>
      <c r="B92" s="229"/>
      <c r="C92" s="225"/>
      <c r="D92" s="226"/>
      <c r="E92" s="226">
        <f>E95</f>
        <v>522.41</v>
      </c>
      <c r="F92" s="226"/>
      <c r="G92" s="226"/>
      <c r="H92" s="226"/>
      <c r="I92" s="226"/>
      <c r="J92" s="226"/>
      <c r="K92" s="226"/>
      <c r="L92" s="226"/>
      <c r="M92" s="226"/>
      <c r="N92" s="228">
        <f>E92</f>
        <v>522.41</v>
      </c>
    </row>
    <row r="93" spans="1:14" x14ac:dyDescent="0.25">
      <c r="A93" s="223"/>
      <c r="B93" s="229"/>
      <c r="C93" s="225"/>
      <c r="D93" s="226"/>
      <c r="E93" s="226"/>
      <c r="F93" s="226"/>
      <c r="G93" s="226"/>
      <c r="H93" s="226"/>
      <c r="I93" s="226"/>
      <c r="J93" s="226"/>
      <c r="K93" s="226"/>
      <c r="L93" s="226"/>
      <c r="M93" s="226"/>
      <c r="N93" s="230"/>
    </row>
    <row r="94" spans="1:14" ht="76.5" x14ac:dyDescent="0.25">
      <c r="A94" s="223" t="s">
        <v>79</v>
      </c>
      <c r="B94" s="229" t="s">
        <v>44</v>
      </c>
      <c r="C94" s="225" t="s">
        <v>30</v>
      </c>
      <c r="D94" s="226"/>
      <c r="E94" s="226"/>
      <c r="F94" s="226"/>
      <c r="G94" s="226"/>
      <c r="H94" s="226"/>
      <c r="I94" s="226"/>
      <c r="J94" s="226"/>
      <c r="K94" s="226"/>
      <c r="L94" s="226"/>
      <c r="M94" s="226"/>
      <c r="N94" s="230">
        <f>N95</f>
        <v>522.41</v>
      </c>
    </row>
    <row r="95" spans="1:14" x14ac:dyDescent="0.25">
      <c r="A95" s="223"/>
      <c r="B95" s="229"/>
      <c r="C95" s="225"/>
      <c r="D95" s="226"/>
      <c r="E95" s="226">
        <v>522.41</v>
      </c>
      <c r="F95" s="226"/>
      <c r="G95" s="226"/>
      <c r="H95" s="226"/>
      <c r="I95" s="226"/>
      <c r="J95" s="226"/>
      <c r="K95" s="226"/>
      <c r="L95" s="226"/>
      <c r="M95" s="226"/>
      <c r="N95" s="228">
        <f>E95</f>
        <v>522.41</v>
      </c>
    </row>
    <row r="96" spans="1:14" x14ac:dyDescent="0.25">
      <c r="A96" s="223"/>
      <c r="B96" s="229"/>
      <c r="C96" s="225"/>
      <c r="D96" s="226"/>
      <c r="E96" s="226"/>
      <c r="F96" s="226"/>
      <c r="G96" s="226"/>
      <c r="H96" s="226"/>
      <c r="I96" s="226"/>
      <c r="J96" s="226"/>
      <c r="K96" s="226"/>
      <c r="L96" s="226"/>
      <c r="M96" s="226"/>
      <c r="N96" s="230"/>
    </row>
    <row r="97" spans="1:14" ht="102" x14ac:dyDescent="0.25">
      <c r="A97" s="223" t="s">
        <v>80</v>
      </c>
      <c r="B97" s="229" t="s">
        <v>49</v>
      </c>
      <c r="C97" s="225" t="s">
        <v>42</v>
      </c>
      <c r="D97" s="226"/>
      <c r="E97" s="226"/>
      <c r="F97" s="226"/>
      <c r="G97" s="226"/>
      <c r="H97" s="226"/>
      <c r="I97" s="226"/>
      <c r="J97" s="226"/>
      <c r="K97" s="226"/>
      <c r="L97" s="226"/>
      <c r="M97" s="226"/>
      <c r="N97" s="230">
        <f>N98</f>
        <v>147.53</v>
      </c>
    </row>
    <row r="98" spans="1:14" x14ac:dyDescent="0.25">
      <c r="A98" s="223"/>
      <c r="B98" s="229"/>
      <c r="C98" s="225"/>
      <c r="D98" s="226"/>
      <c r="E98" s="226">
        <v>147.53</v>
      </c>
      <c r="F98" s="226"/>
      <c r="G98" s="226"/>
      <c r="H98" s="226"/>
      <c r="I98" s="226"/>
      <c r="J98" s="226"/>
      <c r="K98" s="226"/>
      <c r="L98" s="226"/>
      <c r="M98" s="226"/>
      <c r="N98" s="228">
        <f>E98</f>
        <v>147.53</v>
      </c>
    </row>
    <row r="99" spans="1:14" x14ac:dyDescent="0.25">
      <c r="A99" s="223"/>
      <c r="B99" s="229"/>
      <c r="C99" s="225"/>
      <c r="D99" s="226"/>
      <c r="E99" s="226"/>
      <c r="F99" s="226"/>
      <c r="G99" s="226"/>
      <c r="H99" s="226"/>
      <c r="I99" s="226"/>
      <c r="J99" s="226"/>
      <c r="K99" s="226"/>
      <c r="L99" s="226"/>
      <c r="M99" s="226"/>
      <c r="N99" s="230"/>
    </row>
    <row r="100" spans="1:14" x14ac:dyDescent="0.25">
      <c r="A100" s="232" t="s">
        <v>82</v>
      </c>
      <c r="B100" s="233" t="s">
        <v>328</v>
      </c>
      <c r="C100" s="246"/>
      <c r="D100" s="247"/>
      <c r="E100" s="247"/>
      <c r="F100" s="247"/>
      <c r="G100" s="247"/>
      <c r="H100" s="247"/>
      <c r="I100" s="247"/>
      <c r="J100" s="247"/>
      <c r="K100" s="247"/>
      <c r="L100" s="247"/>
      <c r="M100" s="247"/>
      <c r="N100" s="236"/>
    </row>
    <row r="101" spans="1:14" x14ac:dyDescent="0.25">
      <c r="A101" s="231" t="s">
        <v>83</v>
      </c>
      <c r="B101" s="224" t="s">
        <v>33</v>
      </c>
      <c r="C101" s="225"/>
      <c r="D101" s="226"/>
      <c r="E101" s="226"/>
      <c r="F101" s="226"/>
      <c r="G101" s="226"/>
      <c r="H101" s="226"/>
      <c r="I101" s="226"/>
      <c r="J101" s="226"/>
      <c r="K101" s="226"/>
      <c r="L101" s="226"/>
      <c r="M101" s="226"/>
      <c r="N101" s="230"/>
    </row>
    <row r="102" spans="1:14" ht="51" x14ac:dyDescent="0.25">
      <c r="A102" s="223" t="s">
        <v>84</v>
      </c>
      <c r="B102" s="229" t="s">
        <v>270</v>
      </c>
      <c r="C102" s="225" t="s">
        <v>34</v>
      </c>
      <c r="D102" s="226"/>
      <c r="E102" s="226"/>
      <c r="F102" s="226"/>
      <c r="G102" s="226"/>
      <c r="H102" s="226"/>
      <c r="I102" s="226"/>
      <c r="J102" s="226"/>
      <c r="K102" s="226"/>
      <c r="L102" s="226"/>
      <c r="M102" s="226"/>
      <c r="N102" s="230">
        <f>N103</f>
        <v>34.94</v>
      </c>
    </row>
    <row r="103" spans="1:14" x14ac:dyDescent="0.25">
      <c r="A103" s="223"/>
      <c r="B103" s="224" t="s">
        <v>279</v>
      </c>
      <c r="C103" s="225"/>
      <c r="D103" s="226"/>
      <c r="E103" s="226"/>
      <c r="F103" s="226"/>
      <c r="G103" s="226"/>
      <c r="H103" s="226"/>
      <c r="I103" s="226"/>
      <c r="J103" s="226"/>
      <c r="K103" s="226"/>
      <c r="L103" s="226"/>
      <c r="M103" s="226">
        <f>'MAPA DE CUBAÇÃO'!I26</f>
        <v>34.94</v>
      </c>
      <c r="N103" s="228">
        <f>M103</f>
        <v>34.94</v>
      </c>
    </row>
    <row r="104" spans="1:14" x14ac:dyDescent="0.25">
      <c r="A104" s="223"/>
      <c r="B104" s="229"/>
      <c r="C104" s="225"/>
      <c r="D104" s="226"/>
      <c r="E104" s="226"/>
      <c r="F104" s="226"/>
      <c r="G104" s="226"/>
      <c r="H104" s="226"/>
      <c r="I104" s="226"/>
      <c r="J104" s="226"/>
      <c r="K104" s="226"/>
      <c r="L104" s="226"/>
      <c r="M104" s="226"/>
      <c r="N104" s="230"/>
    </row>
    <row r="105" spans="1:14" ht="76.5" x14ac:dyDescent="0.25">
      <c r="A105" s="223" t="s">
        <v>85</v>
      </c>
      <c r="B105" s="229" t="s">
        <v>45</v>
      </c>
      <c r="C105" s="225" t="s">
        <v>34</v>
      </c>
      <c r="D105" s="226"/>
      <c r="E105" s="226"/>
      <c r="F105" s="226"/>
      <c r="G105" s="226"/>
      <c r="H105" s="226"/>
      <c r="I105" s="226"/>
      <c r="J105" s="226"/>
      <c r="K105" s="239" t="s">
        <v>280</v>
      </c>
      <c r="L105" s="226"/>
      <c r="M105" s="226"/>
      <c r="N105" s="230">
        <f>N106</f>
        <v>43.68</v>
      </c>
    </row>
    <row r="106" spans="1:14" x14ac:dyDescent="0.25">
      <c r="A106" s="223"/>
      <c r="B106" s="224" t="s">
        <v>279</v>
      </c>
      <c r="C106" s="225"/>
      <c r="D106" s="226"/>
      <c r="E106" s="226"/>
      <c r="F106" s="226"/>
      <c r="G106" s="226"/>
      <c r="H106" s="226"/>
      <c r="I106" s="226"/>
      <c r="J106" s="226"/>
      <c r="K106" s="238">
        <v>1.25</v>
      </c>
      <c r="L106" s="226"/>
      <c r="M106" s="226">
        <f>N103</f>
        <v>34.94</v>
      </c>
      <c r="N106" s="228">
        <f>K106*M106</f>
        <v>43.68</v>
      </c>
    </row>
    <row r="107" spans="1:14" x14ac:dyDescent="0.25">
      <c r="A107" s="223"/>
      <c r="B107" s="229"/>
      <c r="C107" s="225"/>
      <c r="D107" s="226"/>
      <c r="E107" s="226"/>
      <c r="F107" s="226"/>
      <c r="G107" s="226"/>
      <c r="H107" s="226"/>
      <c r="I107" s="226"/>
      <c r="J107" s="226"/>
      <c r="K107" s="226"/>
      <c r="L107" s="226"/>
      <c r="M107" s="226"/>
      <c r="N107" s="230"/>
    </row>
    <row r="108" spans="1:14" ht="63.75" x14ac:dyDescent="0.25">
      <c r="A108" s="223" t="s">
        <v>86</v>
      </c>
      <c r="B108" s="229" t="s">
        <v>35</v>
      </c>
      <c r="C108" s="225" t="s">
        <v>36</v>
      </c>
      <c r="D108" s="226"/>
      <c r="E108" s="237" t="s">
        <v>281</v>
      </c>
      <c r="F108" s="226"/>
      <c r="G108" s="226"/>
      <c r="H108" s="226"/>
      <c r="I108" s="226"/>
      <c r="J108" s="226"/>
      <c r="K108" s="315"/>
      <c r="L108" s="226"/>
      <c r="M108" s="226"/>
      <c r="N108" s="230">
        <f>N109</f>
        <v>218.4</v>
      </c>
    </row>
    <row r="109" spans="1:14" x14ac:dyDescent="0.25">
      <c r="A109" s="223"/>
      <c r="B109" s="224" t="s">
        <v>279</v>
      </c>
      <c r="C109" s="225"/>
      <c r="D109" s="226"/>
      <c r="E109" s="226">
        <v>5</v>
      </c>
      <c r="F109" s="226"/>
      <c r="G109" s="226"/>
      <c r="H109" s="226"/>
      <c r="I109" s="226"/>
      <c r="J109" s="226"/>
      <c r="K109" s="316"/>
      <c r="L109" s="226"/>
      <c r="M109" s="226">
        <f>N106</f>
        <v>43.68</v>
      </c>
      <c r="N109" s="228">
        <f>M109*E109</f>
        <v>218.4</v>
      </c>
    </row>
    <row r="110" spans="1:14" x14ac:dyDescent="0.25">
      <c r="A110" s="223"/>
      <c r="B110" s="229"/>
      <c r="C110" s="225"/>
      <c r="D110" s="226"/>
      <c r="E110" s="226"/>
      <c r="F110" s="226"/>
      <c r="G110" s="226"/>
      <c r="H110" s="226"/>
      <c r="I110" s="226"/>
      <c r="J110" s="226"/>
      <c r="K110" s="226"/>
      <c r="L110" s="226"/>
      <c r="M110" s="226"/>
      <c r="N110" s="230"/>
    </row>
    <row r="111" spans="1:14" x14ac:dyDescent="0.25">
      <c r="A111" s="231" t="s">
        <v>87</v>
      </c>
      <c r="B111" s="224" t="s">
        <v>40</v>
      </c>
      <c r="C111" s="225"/>
      <c r="D111" s="226"/>
      <c r="E111" s="226"/>
      <c r="F111" s="226"/>
      <c r="G111" s="226"/>
      <c r="H111" s="226"/>
      <c r="I111" s="226"/>
      <c r="J111" s="226"/>
      <c r="K111" s="226"/>
      <c r="L111" s="226"/>
      <c r="M111" s="226"/>
      <c r="N111" s="230"/>
    </row>
    <row r="112" spans="1:14" ht="25.5" x14ac:dyDescent="0.25">
      <c r="A112" s="223" t="s">
        <v>88</v>
      </c>
      <c r="B112" s="229" t="s">
        <v>41</v>
      </c>
      <c r="C112" s="225" t="s">
        <v>42</v>
      </c>
      <c r="D112" s="226"/>
      <c r="E112" s="226"/>
      <c r="F112" s="226"/>
      <c r="G112" s="226"/>
      <c r="H112" s="226"/>
      <c r="I112" s="226"/>
      <c r="J112" s="226"/>
      <c r="K112" s="226"/>
      <c r="L112" s="226"/>
      <c r="M112" s="226"/>
      <c r="N112" s="230">
        <f>N113</f>
        <v>87.34</v>
      </c>
    </row>
    <row r="113" spans="1:14" x14ac:dyDescent="0.25">
      <c r="A113" s="223"/>
      <c r="B113" s="229"/>
      <c r="C113" s="225"/>
      <c r="D113" s="226"/>
      <c r="E113" s="226">
        <v>87.34</v>
      </c>
      <c r="F113" s="226"/>
      <c r="G113" s="226"/>
      <c r="H113" s="226"/>
      <c r="I113" s="226"/>
      <c r="J113" s="226"/>
      <c r="K113" s="226"/>
      <c r="L113" s="226"/>
      <c r="M113" s="226"/>
      <c r="N113" s="228">
        <f>E113</f>
        <v>87.34</v>
      </c>
    </row>
    <row r="114" spans="1:14" ht="51" x14ac:dyDescent="0.25">
      <c r="A114" s="223" t="s">
        <v>89</v>
      </c>
      <c r="B114" s="229" t="s">
        <v>38</v>
      </c>
      <c r="C114" s="225" t="s">
        <v>30</v>
      </c>
      <c r="D114" s="226"/>
      <c r="E114" s="226"/>
      <c r="F114" s="226"/>
      <c r="G114" s="226"/>
      <c r="H114" s="226"/>
      <c r="I114" s="226"/>
      <c r="J114" s="226"/>
      <c r="K114" s="226"/>
      <c r="L114" s="226"/>
      <c r="M114" s="226"/>
      <c r="N114" s="230">
        <f>N115</f>
        <v>358.1</v>
      </c>
    </row>
    <row r="115" spans="1:14" x14ac:dyDescent="0.25">
      <c r="A115" s="223"/>
      <c r="B115" s="229"/>
      <c r="C115" s="225"/>
      <c r="D115" s="226"/>
      <c r="E115" s="226">
        <v>358.1</v>
      </c>
      <c r="F115" s="226"/>
      <c r="G115" s="226"/>
      <c r="H115" s="226"/>
      <c r="I115" s="226"/>
      <c r="J115" s="226"/>
      <c r="K115" s="226"/>
      <c r="L115" s="226"/>
      <c r="M115" s="226"/>
      <c r="N115" s="228">
        <f>E115</f>
        <v>358.1</v>
      </c>
    </row>
    <row r="116" spans="1:14" x14ac:dyDescent="0.25">
      <c r="A116" s="223"/>
      <c r="B116" s="229"/>
      <c r="C116" s="225"/>
      <c r="D116" s="226"/>
      <c r="E116" s="226"/>
      <c r="F116" s="226"/>
      <c r="G116" s="226"/>
      <c r="H116" s="226"/>
      <c r="I116" s="226"/>
      <c r="J116" s="226"/>
      <c r="K116" s="226"/>
      <c r="L116" s="226"/>
      <c r="M116" s="226"/>
      <c r="N116" s="230"/>
    </row>
    <row r="117" spans="1:14" ht="76.5" x14ac:dyDescent="0.25">
      <c r="A117" s="223" t="s">
        <v>90</v>
      </c>
      <c r="B117" s="229" t="s">
        <v>44</v>
      </c>
      <c r="C117" s="225" t="s">
        <v>30</v>
      </c>
      <c r="D117" s="226"/>
      <c r="E117" s="226"/>
      <c r="F117" s="226"/>
      <c r="G117" s="226"/>
      <c r="H117" s="226"/>
      <c r="I117" s="226"/>
      <c r="J117" s="226"/>
      <c r="K117" s="226"/>
      <c r="L117" s="226"/>
      <c r="M117" s="226"/>
      <c r="N117" s="230">
        <f>N118</f>
        <v>358.1</v>
      </c>
    </row>
    <row r="118" spans="1:14" x14ac:dyDescent="0.25">
      <c r="A118" s="223"/>
      <c r="B118" s="229"/>
      <c r="C118" s="225"/>
      <c r="D118" s="226"/>
      <c r="E118" s="226">
        <v>358.1</v>
      </c>
      <c r="F118" s="226"/>
      <c r="G118" s="226"/>
      <c r="H118" s="226"/>
      <c r="I118" s="226"/>
      <c r="J118" s="226"/>
      <c r="K118" s="226"/>
      <c r="L118" s="226"/>
      <c r="M118" s="226"/>
      <c r="N118" s="228">
        <f>E118</f>
        <v>358.1</v>
      </c>
    </row>
    <row r="119" spans="1:14" x14ac:dyDescent="0.25">
      <c r="A119" s="223"/>
      <c r="B119" s="229"/>
      <c r="C119" s="225"/>
      <c r="D119" s="226"/>
      <c r="E119" s="226"/>
      <c r="F119" s="226"/>
      <c r="G119" s="226"/>
      <c r="H119" s="226"/>
      <c r="I119" s="226"/>
      <c r="J119" s="226"/>
      <c r="K119" s="226"/>
      <c r="L119" s="226"/>
      <c r="M119" s="226"/>
      <c r="N119" s="230"/>
    </row>
    <row r="120" spans="1:14" ht="102" x14ac:dyDescent="0.25">
      <c r="A120" s="223" t="s">
        <v>91</v>
      </c>
      <c r="B120" s="229" t="s">
        <v>49</v>
      </c>
      <c r="C120" s="225" t="s">
        <v>42</v>
      </c>
      <c r="D120" s="226"/>
      <c r="E120" s="226"/>
      <c r="F120" s="226"/>
      <c r="G120" s="226"/>
      <c r="H120" s="226"/>
      <c r="I120" s="226"/>
      <c r="J120" s="226"/>
      <c r="K120" s="226"/>
      <c r="L120" s="226"/>
      <c r="M120" s="226"/>
      <c r="N120" s="230">
        <f>N121</f>
        <v>184.9</v>
      </c>
    </row>
    <row r="121" spans="1:14" x14ac:dyDescent="0.25">
      <c r="A121" s="223"/>
      <c r="B121" s="229"/>
      <c r="C121" s="225"/>
      <c r="D121" s="226"/>
      <c r="E121" s="226">
        <v>184.9</v>
      </c>
      <c r="F121" s="226"/>
      <c r="G121" s="226"/>
      <c r="H121" s="226"/>
      <c r="I121" s="226"/>
      <c r="J121" s="226"/>
      <c r="K121" s="226"/>
      <c r="L121" s="226"/>
      <c r="M121" s="226"/>
      <c r="N121" s="228">
        <f>E121</f>
        <v>184.9</v>
      </c>
    </row>
    <row r="122" spans="1:14" x14ac:dyDescent="0.25">
      <c r="A122" s="223"/>
      <c r="B122" s="229"/>
      <c r="C122" s="225"/>
      <c r="D122" s="226"/>
      <c r="E122" s="226"/>
      <c r="F122" s="226"/>
      <c r="G122" s="226"/>
      <c r="H122" s="226"/>
      <c r="I122" s="226"/>
      <c r="J122" s="226"/>
      <c r="K122" s="226"/>
      <c r="L122" s="226"/>
      <c r="M122" s="226"/>
      <c r="N122" s="230"/>
    </row>
    <row r="123" spans="1:14" x14ac:dyDescent="0.25">
      <c r="A123" s="232" t="s">
        <v>93</v>
      </c>
      <c r="B123" s="233" t="s">
        <v>448</v>
      </c>
      <c r="C123" s="234"/>
      <c r="D123" s="235"/>
      <c r="E123" s="235"/>
      <c r="F123" s="235"/>
      <c r="G123" s="235"/>
      <c r="H123" s="235"/>
      <c r="I123" s="235"/>
      <c r="J123" s="235"/>
      <c r="K123" s="235"/>
      <c r="L123" s="235"/>
      <c r="M123" s="235"/>
      <c r="N123" s="236"/>
    </row>
    <row r="124" spans="1:14" x14ac:dyDescent="0.25">
      <c r="A124" s="231" t="s">
        <v>94</v>
      </c>
      <c r="B124" s="224" t="s">
        <v>33</v>
      </c>
      <c r="C124" s="225"/>
      <c r="D124" s="226"/>
      <c r="E124" s="226"/>
      <c r="F124" s="226"/>
      <c r="G124" s="226"/>
      <c r="H124" s="226"/>
      <c r="I124" s="226"/>
      <c r="J124" s="226"/>
      <c r="K124" s="226"/>
      <c r="L124" s="226"/>
      <c r="M124" s="226"/>
      <c r="N124" s="230"/>
    </row>
    <row r="125" spans="1:14" ht="51" x14ac:dyDescent="0.25">
      <c r="A125" s="223" t="s">
        <v>95</v>
      </c>
      <c r="B125" s="229" t="s">
        <v>270</v>
      </c>
      <c r="C125" s="225" t="s">
        <v>34</v>
      </c>
      <c r="D125" s="226"/>
      <c r="E125" s="226"/>
      <c r="F125" s="226"/>
      <c r="G125" s="226"/>
      <c r="H125" s="226"/>
      <c r="I125" s="226"/>
      <c r="J125" s="226"/>
      <c r="K125" s="226"/>
      <c r="L125" s="226"/>
      <c r="M125" s="226"/>
      <c r="N125" s="230">
        <f>N126</f>
        <v>88.87</v>
      </c>
    </row>
    <row r="126" spans="1:14" x14ac:dyDescent="0.25">
      <c r="A126" s="223"/>
      <c r="B126" s="224" t="s">
        <v>279</v>
      </c>
      <c r="C126" s="225"/>
      <c r="D126" s="226"/>
      <c r="E126" s="226"/>
      <c r="F126" s="226"/>
      <c r="G126" s="226"/>
      <c r="H126" s="226"/>
      <c r="I126" s="226"/>
      <c r="J126" s="226"/>
      <c r="K126" s="226"/>
      <c r="L126" s="226"/>
      <c r="M126" s="226">
        <f>'MAPA DE CUBAÇÃO'!I34</f>
        <v>88.87</v>
      </c>
      <c r="N126" s="228">
        <f>M126</f>
        <v>88.87</v>
      </c>
    </row>
    <row r="127" spans="1:14" x14ac:dyDescent="0.25">
      <c r="A127" s="223"/>
      <c r="B127" s="229"/>
      <c r="C127" s="225"/>
      <c r="D127" s="226"/>
      <c r="E127" s="226"/>
      <c r="F127" s="226"/>
      <c r="G127" s="226"/>
      <c r="H127" s="226"/>
      <c r="I127" s="226"/>
      <c r="J127" s="226"/>
      <c r="K127" s="226"/>
      <c r="L127" s="226"/>
      <c r="M127" s="226"/>
      <c r="N127" s="230"/>
    </row>
    <row r="128" spans="1:14" ht="76.5" x14ac:dyDescent="0.25">
      <c r="A128" s="223" t="s">
        <v>96</v>
      </c>
      <c r="B128" s="229" t="s">
        <v>45</v>
      </c>
      <c r="C128" s="225" t="s">
        <v>34</v>
      </c>
      <c r="D128" s="226"/>
      <c r="E128" s="226"/>
      <c r="F128" s="226"/>
      <c r="G128" s="226"/>
      <c r="H128" s="226"/>
      <c r="I128" s="226"/>
      <c r="J128" s="226"/>
      <c r="K128" s="239" t="s">
        <v>280</v>
      </c>
      <c r="L128" s="226"/>
      <c r="M128" s="226"/>
      <c r="N128" s="230">
        <f>N129</f>
        <v>111.09</v>
      </c>
    </row>
    <row r="129" spans="1:14" x14ac:dyDescent="0.25">
      <c r="A129" s="223"/>
      <c r="B129" s="224" t="s">
        <v>279</v>
      </c>
      <c r="C129" s="225"/>
      <c r="D129" s="226"/>
      <c r="E129" s="226"/>
      <c r="F129" s="226"/>
      <c r="G129" s="226"/>
      <c r="H129" s="226"/>
      <c r="I129" s="226"/>
      <c r="J129" s="226"/>
      <c r="K129" s="238">
        <v>1.25</v>
      </c>
      <c r="L129" s="226"/>
      <c r="M129" s="226">
        <f>N126</f>
        <v>88.87</v>
      </c>
      <c r="N129" s="228">
        <f>K129*M129</f>
        <v>111.09</v>
      </c>
    </row>
    <row r="130" spans="1:14" x14ac:dyDescent="0.25">
      <c r="A130" s="223"/>
      <c r="B130" s="229"/>
      <c r="C130" s="225"/>
      <c r="D130" s="226"/>
      <c r="E130" s="226"/>
      <c r="F130" s="226"/>
      <c r="G130" s="226"/>
      <c r="H130" s="226"/>
      <c r="I130" s="226"/>
      <c r="J130" s="226"/>
      <c r="K130" s="226"/>
      <c r="L130" s="226"/>
      <c r="M130" s="226"/>
      <c r="N130" s="230"/>
    </row>
    <row r="131" spans="1:14" ht="63.75" x14ac:dyDescent="0.25">
      <c r="A131" s="223" t="s">
        <v>97</v>
      </c>
      <c r="B131" s="229" t="s">
        <v>35</v>
      </c>
      <c r="C131" s="225" t="s">
        <v>36</v>
      </c>
      <c r="D131" s="226"/>
      <c r="E131" s="237" t="s">
        <v>281</v>
      </c>
      <c r="F131" s="226"/>
      <c r="G131" s="226"/>
      <c r="H131" s="226"/>
      <c r="I131" s="226"/>
      <c r="J131" s="226"/>
      <c r="K131" s="315"/>
      <c r="L131" s="226"/>
      <c r="M131" s="226"/>
      <c r="N131" s="230">
        <f>N132</f>
        <v>555.45000000000005</v>
      </c>
    </row>
    <row r="132" spans="1:14" x14ac:dyDescent="0.25">
      <c r="A132" s="223"/>
      <c r="B132" s="224" t="s">
        <v>279</v>
      </c>
      <c r="C132" s="225"/>
      <c r="D132" s="226"/>
      <c r="E132" s="226">
        <v>5</v>
      </c>
      <c r="F132" s="226"/>
      <c r="G132" s="226"/>
      <c r="H132" s="226"/>
      <c r="I132" s="226"/>
      <c r="J132" s="226"/>
      <c r="K132" s="316"/>
      <c r="L132" s="226"/>
      <c r="M132" s="226">
        <f>N129</f>
        <v>111.09</v>
      </c>
      <c r="N132" s="228">
        <f>M132*E132</f>
        <v>555.45000000000005</v>
      </c>
    </row>
    <row r="133" spans="1:14" x14ac:dyDescent="0.25">
      <c r="A133" s="223"/>
      <c r="B133" s="229"/>
      <c r="C133" s="225"/>
      <c r="D133" s="226"/>
      <c r="E133" s="226"/>
      <c r="F133" s="226"/>
      <c r="G133" s="226"/>
      <c r="H133" s="226"/>
      <c r="I133" s="226"/>
      <c r="J133" s="226"/>
      <c r="K133" s="226"/>
      <c r="L133" s="226"/>
      <c r="M133" s="226"/>
      <c r="N133" s="230"/>
    </row>
    <row r="134" spans="1:14" x14ac:dyDescent="0.25">
      <c r="A134" s="231" t="s">
        <v>98</v>
      </c>
      <c r="B134" s="224" t="s">
        <v>40</v>
      </c>
      <c r="C134" s="225"/>
      <c r="D134" s="226"/>
      <c r="E134" s="226"/>
      <c r="F134" s="226"/>
      <c r="G134" s="226"/>
      <c r="H134" s="226"/>
      <c r="I134" s="226"/>
      <c r="J134" s="226"/>
      <c r="K134" s="226"/>
      <c r="L134" s="226"/>
      <c r="M134" s="226"/>
      <c r="N134" s="230"/>
    </row>
    <row r="135" spans="1:14" ht="25.5" x14ac:dyDescent="0.25">
      <c r="A135" s="223" t="s">
        <v>99</v>
      </c>
      <c r="B135" s="229" t="s">
        <v>41</v>
      </c>
      <c r="C135" s="225" t="s">
        <v>42</v>
      </c>
      <c r="D135" s="226"/>
      <c r="E135" s="226"/>
      <c r="F135" s="226"/>
      <c r="G135" s="226"/>
      <c r="H135" s="226"/>
      <c r="I135" s="226"/>
      <c r="J135" s="226"/>
      <c r="K135" s="226"/>
      <c r="L135" s="226"/>
      <c r="M135" s="226"/>
      <c r="N135" s="230">
        <f>N136</f>
        <v>126.95</v>
      </c>
    </row>
    <row r="136" spans="1:14" x14ac:dyDescent="0.25">
      <c r="A136" s="223"/>
      <c r="B136" s="229"/>
      <c r="C136" s="225"/>
      <c r="D136" s="226"/>
      <c r="E136" s="226">
        <f>'MAPA DE CUBAÇÃO'!H43</f>
        <v>126.95</v>
      </c>
      <c r="F136" s="226"/>
      <c r="G136" s="226"/>
      <c r="H136" s="226"/>
      <c r="I136" s="226"/>
      <c r="J136" s="226"/>
      <c r="K136" s="226"/>
      <c r="L136" s="226"/>
      <c r="M136" s="226"/>
      <c r="N136" s="228">
        <f>E136</f>
        <v>126.95</v>
      </c>
    </row>
    <row r="137" spans="1:14" ht="51" x14ac:dyDescent="0.25">
      <c r="A137" s="223" t="s">
        <v>100</v>
      </c>
      <c r="B137" s="229" t="s">
        <v>38</v>
      </c>
      <c r="C137" s="225" t="s">
        <v>30</v>
      </c>
      <c r="D137" s="226"/>
      <c r="E137" s="226"/>
      <c r="F137" s="226"/>
      <c r="G137" s="226"/>
      <c r="H137" s="226"/>
      <c r="I137" s="226"/>
      <c r="J137" s="226"/>
      <c r="K137" s="226"/>
      <c r="L137" s="226"/>
      <c r="M137" s="226"/>
      <c r="N137" s="230">
        <f>N138</f>
        <v>873.31</v>
      </c>
    </row>
    <row r="138" spans="1:14" x14ac:dyDescent="0.25">
      <c r="A138" s="223"/>
      <c r="B138" s="229"/>
      <c r="C138" s="225"/>
      <c r="D138" s="226"/>
      <c r="E138" s="226">
        <f>E141</f>
        <v>873.31</v>
      </c>
      <c r="F138" s="226"/>
      <c r="G138" s="226"/>
      <c r="H138" s="226"/>
      <c r="I138" s="226"/>
      <c r="J138" s="226"/>
      <c r="K138" s="226"/>
      <c r="L138" s="226"/>
      <c r="M138" s="226"/>
      <c r="N138" s="228">
        <f>E138</f>
        <v>873.31</v>
      </c>
    </row>
    <row r="139" spans="1:14" x14ac:dyDescent="0.25">
      <c r="A139" s="223"/>
      <c r="B139" s="229"/>
      <c r="C139" s="225"/>
      <c r="D139" s="226"/>
      <c r="E139" s="226"/>
      <c r="F139" s="226"/>
      <c r="G139" s="226"/>
      <c r="H139" s="226"/>
      <c r="I139" s="226"/>
      <c r="J139" s="226"/>
      <c r="K139" s="226"/>
      <c r="L139" s="226"/>
      <c r="M139" s="226"/>
      <c r="N139" s="230"/>
    </row>
    <row r="140" spans="1:14" ht="76.5" x14ac:dyDescent="0.25">
      <c r="A140" s="223" t="s">
        <v>101</v>
      </c>
      <c r="B140" s="229" t="s">
        <v>44</v>
      </c>
      <c r="C140" s="225" t="s">
        <v>30</v>
      </c>
      <c r="D140" s="226"/>
      <c r="E140" s="226"/>
      <c r="F140" s="226"/>
      <c r="G140" s="226"/>
      <c r="H140" s="226"/>
      <c r="I140" s="226"/>
      <c r="J140" s="226"/>
      <c r="K140" s="226"/>
      <c r="L140" s="226"/>
      <c r="M140" s="226"/>
      <c r="N140" s="230">
        <f>N141</f>
        <v>873.31</v>
      </c>
    </row>
    <row r="141" spans="1:14" x14ac:dyDescent="0.25">
      <c r="A141" s="223"/>
      <c r="B141" s="229"/>
      <c r="C141" s="225"/>
      <c r="D141" s="226"/>
      <c r="E141" s="226">
        <v>873.31</v>
      </c>
      <c r="F141" s="226"/>
      <c r="G141" s="226"/>
      <c r="H141" s="226"/>
      <c r="I141" s="226"/>
      <c r="J141" s="226"/>
      <c r="K141" s="226"/>
      <c r="L141" s="226"/>
      <c r="M141" s="226"/>
      <c r="N141" s="228">
        <f>E141</f>
        <v>873.31</v>
      </c>
    </row>
    <row r="142" spans="1:14" x14ac:dyDescent="0.25">
      <c r="A142" s="223"/>
      <c r="B142" s="229"/>
      <c r="C142" s="225"/>
      <c r="D142" s="226"/>
      <c r="E142" s="226"/>
      <c r="F142" s="226"/>
      <c r="G142" s="226"/>
      <c r="H142" s="226"/>
      <c r="I142" s="226"/>
      <c r="J142" s="226"/>
      <c r="K142" s="226"/>
      <c r="L142" s="226"/>
      <c r="M142" s="226"/>
      <c r="N142" s="230"/>
    </row>
    <row r="143" spans="1:14" ht="102" x14ac:dyDescent="0.25">
      <c r="A143" s="223" t="s">
        <v>102</v>
      </c>
      <c r="B143" s="229" t="s">
        <v>49</v>
      </c>
      <c r="C143" s="225" t="s">
        <v>42</v>
      </c>
      <c r="D143" s="226"/>
      <c r="E143" s="226"/>
      <c r="F143" s="226"/>
      <c r="G143" s="226"/>
      <c r="H143" s="226"/>
      <c r="I143" s="226"/>
      <c r="J143" s="226"/>
      <c r="K143" s="226"/>
      <c r="L143" s="226"/>
      <c r="M143" s="226"/>
      <c r="N143" s="230">
        <f>N144</f>
        <v>238.5</v>
      </c>
    </row>
    <row r="144" spans="1:14" x14ac:dyDescent="0.25">
      <c r="A144" s="223"/>
      <c r="B144" s="229"/>
      <c r="C144" s="225"/>
      <c r="D144" s="226"/>
      <c r="E144" s="226">
        <v>238.5</v>
      </c>
      <c r="F144" s="226"/>
      <c r="G144" s="226"/>
      <c r="H144" s="226"/>
      <c r="I144" s="226"/>
      <c r="J144" s="226"/>
      <c r="K144" s="226"/>
      <c r="L144" s="226"/>
      <c r="M144" s="226"/>
      <c r="N144" s="228">
        <f>E144</f>
        <v>238.5</v>
      </c>
    </row>
    <row r="145" spans="1:14" x14ac:dyDescent="0.25">
      <c r="A145" s="223"/>
      <c r="B145" s="229"/>
      <c r="C145" s="225"/>
      <c r="D145" s="226"/>
      <c r="E145" s="226"/>
      <c r="F145" s="226"/>
      <c r="G145" s="226"/>
      <c r="H145" s="226"/>
      <c r="I145" s="226"/>
      <c r="J145" s="226"/>
      <c r="K145" s="226"/>
      <c r="L145" s="226"/>
      <c r="M145" s="226"/>
      <c r="N145" s="230"/>
    </row>
    <row r="146" spans="1:14" x14ac:dyDescent="0.25">
      <c r="A146" s="232" t="s">
        <v>103</v>
      </c>
      <c r="B146" s="233" t="s">
        <v>449</v>
      </c>
      <c r="C146" s="234"/>
      <c r="D146" s="235"/>
      <c r="E146" s="235"/>
      <c r="F146" s="235"/>
      <c r="G146" s="235"/>
      <c r="H146" s="235"/>
      <c r="I146" s="235"/>
      <c r="J146" s="235"/>
      <c r="K146" s="235"/>
      <c r="L146" s="235"/>
      <c r="M146" s="235"/>
      <c r="N146" s="236"/>
    </row>
    <row r="147" spans="1:14" x14ac:dyDescent="0.25">
      <c r="A147" s="231" t="s">
        <v>104</v>
      </c>
      <c r="B147" s="224" t="s">
        <v>33</v>
      </c>
      <c r="C147" s="225"/>
      <c r="D147" s="226"/>
      <c r="E147" s="226"/>
      <c r="F147" s="226"/>
      <c r="G147" s="226"/>
      <c r="H147" s="226"/>
      <c r="I147" s="226"/>
      <c r="J147" s="226"/>
      <c r="K147" s="226"/>
      <c r="L147" s="226"/>
      <c r="M147" s="226"/>
      <c r="N147" s="230"/>
    </row>
    <row r="148" spans="1:14" ht="51" x14ac:dyDescent="0.25">
      <c r="A148" s="223" t="s">
        <v>105</v>
      </c>
      <c r="B148" s="229" t="s">
        <v>270</v>
      </c>
      <c r="C148" s="225" t="s">
        <v>34</v>
      </c>
      <c r="D148" s="226"/>
      <c r="E148" s="226"/>
      <c r="F148" s="226"/>
      <c r="G148" s="226"/>
      <c r="H148" s="226"/>
      <c r="I148" s="226"/>
      <c r="J148" s="226"/>
      <c r="K148" s="226"/>
      <c r="L148" s="226"/>
      <c r="M148" s="226"/>
      <c r="N148" s="230">
        <f>N149</f>
        <v>76.150000000000006</v>
      </c>
    </row>
    <row r="149" spans="1:14" x14ac:dyDescent="0.25">
      <c r="A149" s="223"/>
      <c r="B149" s="224" t="s">
        <v>279</v>
      </c>
      <c r="C149" s="225"/>
      <c r="D149" s="226"/>
      <c r="E149" s="226"/>
      <c r="F149" s="226"/>
      <c r="G149" s="226"/>
      <c r="H149" s="226"/>
      <c r="I149" s="226"/>
      <c r="J149" s="226"/>
      <c r="K149" s="226"/>
      <c r="L149" s="226"/>
      <c r="M149" s="226">
        <f>'MAPA DE CUBAÇÃO'!I44</f>
        <v>76.150000000000006</v>
      </c>
      <c r="N149" s="228">
        <f>M149</f>
        <v>76.150000000000006</v>
      </c>
    </row>
    <row r="150" spans="1:14" x14ac:dyDescent="0.25">
      <c r="A150" s="223"/>
      <c r="B150" s="229"/>
      <c r="C150" s="225"/>
      <c r="D150" s="226"/>
      <c r="E150" s="226"/>
      <c r="F150" s="226"/>
      <c r="G150" s="226"/>
      <c r="H150" s="226"/>
      <c r="I150" s="226"/>
      <c r="J150" s="226"/>
      <c r="K150" s="226"/>
      <c r="L150" s="226"/>
      <c r="M150" s="226"/>
      <c r="N150" s="230"/>
    </row>
    <row r="151" spans="1:14" ht="76.5" x14ac:dyDescent="0.25">
      <c r="A151" s="223" t="s">
        <v>106</v>
      </c>
      <c r="B151" s="229" t="s">
        <v>45</v>
      </c>
      <c r="C151" s="225" t="s">
        <v>34</v>
      </c>
      <c r="D151" s="226"/>
      <c r="E151" s="226"/>
      <c r="F151" s="226"/>
      <c r="G151" s="226"/>
      <c r="H151" s="226"/>
      <c r="I151" s="226"/>
      <c r="J151" s="226"/>
      <c r="K151" s="239" t="s">
        <v>280</v>
      </c>
      <c r="L151" s="226"/>
      <c r="M151" s="226"/>
      <c r="N151" s="230">
        <f>N152</f>
        <v>95.19</v>
      </c>
    </row>
    <row r="152" spans="1:14" x14ac:dyDescent="0.25">
      <c r="A152" s="223"/>
      <c r="B152" s="224" t="s">
        <v>279</v>
      </c>
      <c r="C152" s="225"/>
      <c r="D152" s="226"/>
      <c r="E152" s="226"/>
      <c r="F152" s="226"/>
      <c r="G152" s="226"/>
      <c r="H152" s="226"/>
      <c r="I152" s="226"/>
      <c r="J152" s="226"/>
      <c r="K152" s="238">
        <v>1.25</v>
      </c>
      <c r="L152" s="226"/>
      <c r="M152" s="226">
        <f>N149</f>
        <v>76.150000000000006</v>
      </c>
      <c r="N152" s="228">
        <f>K152*M152</f>
        <v>95.19</v>
      </c>
    </row>
    <row r="153" spans="1:14" x14ac:dyDescent="0.25">
      <c r="A153" s="223"/>
      <c r="B153" s="229"/>
      <c r="C153" s="225"/>
      <c r="D153" s="226"/>
      <c r="E153" s="226"/>
      <c r="F153" s="226"/>
      <c r="G153" s="226"/>
      <c r="H153" s="226"/>
      <c r="I153" s="226"/>
      <c r="J153" s="226"/>
      <c r="K153" s="226"/>
      <c r="L153" s="226"/>
      <c r="M153" s="226"/>
      <c r="N153" s="230"/>
    </row>
    <row r="154" spans="1:14" ht="63.75" x14ac:dyDescent="0.25">
      <c r="A154" s="223" t="s">
        <v>107</v>
      </c>
      <c r="B154" s="229" t="s">
        <v>35</v>
      </c>
      <c r="C154" s="225" t="s">
        <v>36</v>
      </c>
      <c r="D154" s="226"/>
      <c r="E154" s="237" t="s">
        <v>281</v>
      </c>
      <c r="F154" s="226"/>
      <c r="G154" s="226"/>
      <c r="H154" s="226"/>
      <c r="I154" s="226"/>
      <c r="J154" s="226"/>
      <c r="K154" s="315"/>
      <c r="L154" s="226"/>
      <c r="M154" s="226"/>
      <c r="N154" s="230">
        <f>N155</f>
        <v>475.95</v>
      </c>
    </row>
    <row r="155" spans="1:14" x14ac:dyDescent="0.25">
      <c r="A155" s="223"/>
      <c r="B155" s="224" t="s">
        <v>279</v>
      </c>
      <c r="C155" s="225"/>
      <c r="D155" s="226"/>
      <c r="E155" s="226">
        <v>5</v>
      </c>
      <c r="F155" s="226"/>
      <c r="G155" s="226"/>
      <c r="H155" s="226"/>
      <c r="I155" s="226"/>
      <c r="J155" s="226"/>
      <c r="K155" s="316"/>
      <c r="L155" s="226"/>
      <c r="M155" s="226">
        <f>N152</f>
        <v>95.19</v>
      </c>
      <c r="N155" s="228">
        <f>M155*E155</f>
        <v>475.95</v>
      </c>
    </row>
    <row r="156" spans="1:14" x14ac:dyDescent="0.25">
      <c r="A156" s="223"/>
      <c r="B156" s="229"/>
      <c r="C156" s="225"/>
      <c r="D156" s="226"/>
      <c r="E156" s="226"/>
      <c r="F156" s="226"/>
      <c r="G156" s="226"/>
      <c r="H156" s="226"/>
      <c r="I156" s="226"/>
      <c r="J156" s="226"/>
      <c r="K156" s="226"/>
      <c r="L156" s="226"/>
      <c r="M156" s="226"/>
      <c r="N156" s="230"/>
    </row>
    <row r="157" spans="1:14" x14ac:dyDescent="0.25">
      <c r="A157" s="231" t="s">
        <v>108</v>
      </c>
      <c r="B157" s="224" t="s">
        <v>40</v>
      </c>
      <c r="C157" s="225"/>
      <c r="D157" s="226"/>
      <c r="E157" s="226"/>
      <c r="F157" s="226"/>
      <c r="G157" s="226"/>
      <c r="H157" s="226"/>
      <c r="I157" s="226"/>
      <c r="J157" s="226"/>
      <c r="K157" s="226"/>
      <c r="L157" s="226"/>
      <c r="M157" s="226"/>
      <c r="N157" s="230"/>
    </row>
    <row r="158" spans="1:14" ht="25.5" x14ac:dyDescent="0.25">
      <c r="A158" s="223" t="s">
        <v>109</v>
      </c>
      <c r="B158" s="229" t="s">
        <v>41</v>
      </c>
      <c r="C158" s="225" t="s">
        <v>42</v>
      </c>
      <c r="D158" s="226"/>
      <c r="E158" s="226"/>
      <c r="F158" s="226"/>
      <c r="G158" s="226"/>
      <c r="H158" s="226"/>
      <c r="I158" s="226"/>
      <c r="J158" s="226"/>
      <c r="K158" s="226"/>
      <c r="L158" s="226"/>
      <c r="M158" s="226"/>
      <c r="N158" s="230">
        <f>N159</f>
        <v>126.92</v>
      </c>
    </row>
    <row r="159" spans="1:14" x14ac:dyDescent="0.25">
      <c r="A159" s="223"/>
      <c r="B159" s="229"/>
      <c r="C159" s="225"/>
      <c r="D159" s="226"/>
      <c r="E159" s="226">
        <f>'MAPA DE CUBAÇÃO'!H54</f>
        <v>126.92</v>
      </c>
      <c r="F159" s="226"/>
      <c r="G159" s="226"/>
      <c r="H159" s="226"/>
      <c r="I159" s="226"/>
      <c r="J159" s="226"/>
      <c r="K159" s="226"/>
      <c r="L159" s="226"/>
      <c r="M159" s="226"/>
      <c r="N159" s="228">
        <f>E159</f>
        <v>126.92</v>
      </c>
    </row>
    <row r="160" spans="1:14" x14ac:dyDescent="0.25">
      <c r="A160" s="223"/>
      <c r="B160" s="229"/>
      <c r="C160" s="225"/>
      <c r="D160" s="226"/>
      <c r="E160" s="226"/>
      <c r="F160" s="226"/>
      <c r="G160" s="226"/>
      <c r="H160" s="226"/>
      <c r="I160" s="226"/>
      <c r="J160" s="226"/>
      <c r="K160" s="226"/>
      <c r="L160" s="226"/>
      <c r="M160" s="226"/>
      <c r="N160" s="228"/>
    </row>
    <row r="161" spans="1:14" ht="51" x14ac:dyDescent="0.25">
      <c r="A161" s="223" t="s">
        <v>110</v>
      </c>
      <c r="B161" s="229" t="s">
        <v>38</v>
      </c>
      <c r="C161" s="225" t="s">
        <v>30</v>
      </c>
      <c r="D161" s="226"/>
      <c r="E161" s="226"/>
      <c r="F161" s="226"/>
      <c r="G161" s="226"/>
      <c r="H161" s="226"/>
      <c r="I161" s="226"/>
      <c r="J161" s="226"/>
      <c r="K161" s="226"/>
      <c r="L161" s="226"/>
      <c r="M161" s="226"/>
      <c r="N161" s="230">
        <f>N162</f>
        <v>1365.36</v>
      </c>
    </row>
    <row r="162" spans="1:14" x14ac:dyDescent="0.25">
      <c r="A162" s="223"/>
      <c r="B162" s="229"/>
      <c r="C162" s="225"/>
      <c r="D162" s="226"/>
      <c r="E162" s="226"/>
      <c r="F162" s="226"/>
      <c r="G162" s="226">
        <f>947.62+417.74</f>
        <v>1365.36</v>
      </c>
      <c r="H162" s="226"/>
      <c r="I162" s="226"/>
      <c r="J162" s="226"/>
      <c r="K162" s="226"/>
      <c r="L162" s="226"/>
      <c r="M162" s="226"/>
      <c r="N162" s="228">
        <f>G162</f>
        <v>1365.36</v>
      </c>
    </row>
    <row r="163" spans="1:14" x14ac:dyDescent="0.25">
      <c r="A163" s="223"/>
      <c r="B163" s="229"/>
      <c r="C163" s="225"/>
      <c r="D163" s="226"/>
      <c r="E163" s="226"/>
      <c r="F163" s="226"/>
      <c r="G163" s="226"/>
      <c r="H163" s="226"/>
      <c r="I163" s="226"/>
      <c r="J163" s="226"/>
      <c r="K163" s="226"/>
      <c r="L163" s="226"/>
      <c r="M163" s="226"/>
      <c r="N163" s="230"/>
    </row>
    <row r="164" spans="1:14" ht="76.5" x14ac:dyDescent="0.25">
      <c r="A164" s="223" t="s">
        <v>111</v>
      </c>
      <c r="B164" s="229" t="s">
        <v>44</v>
      </c>
      <c r="C164" s="225" t="s">
        <v>30</v>
      </c>
      <c r="D164" s="226"/>
      <c r="E164" s="226"/>
      <c r="F164" s="226"/>
      <c r="G164" s="226"/>
      <c r="H164" s="226"/>
      <c r="I164" s="226"/>
      <c r="J164" s="226"/>
      <c r="K164" s="226"/>
      <c r="L164" s="226"/>
      <c r="M164" s="226"/>
      <c r="N164" s="230">
        <f>N165</f>
        <v>1365.36</v>
      </c>
    </row>
    <row r="165" spans="1:14" x14ac:dyDescent="0.25">
      <c r="A165" s="223"/>
      <c r="B165" s="229"/>
      <c r="C165" s="225"/>
      <c r="D165" s="226"/>
      <c r="E165" s="226"/>
      <c r="F165" s="226"/>
      <c r="G165" s="226">
        <f>G162</f>
        <v>1365.36</v>
      </c>
      <c r="H165" s="226"/>
      <c r="I165" s="226"/>
      <c r="J165" s="226"/>
      <c r="K165" s="226"/>
      <c r="L165" s="226"/>
      <c r="M165" s="226"/>
      <c r="N165" s="228">
        <f>G165</f>
        <v>1365.36</v>
      </c>
    </row>
    <row r="166" spans="1:14" x14ac:dyDescent="0.25">
      <c r="A166" s="223"/>
      <c r="B166" s="229"/>
      <c r="C166" s="225"/>
      <c r="D166" s="226"/>
      <c r="E166" s="226"/>
      <c r="F166" s="226"/>
      <c r="G166" s="226"/>
      <c r="H166" s="226"/>
      <c r="I166" s="226"/>
      <c r="J166" s="226"/>
      <c r="K166" s="226"/>
      <c r="L166" s="226"/>
      <c r="M166" s="226"/>
      <c r="N166" s="230"/>
    </row>
    <row r="167" spans="1:14" ht="102" x14ac:dyDescent="0.25">
      <c r="A167" s="223" t="s">
        <v>112</v>
      </c>
      <c r="B167" s="229" t="s">
        <v>49</v>
      </c>
      <c r="C167" s="225" t="s">
        <v>42</v>
      </c>
      <c r="D167" s="226"/>
      <c r="E167" s="226"/>
      <c r="F167" s="226"/>
      <c r="G167" s="226"/>
      <c r="H167" s="226"/>
      <c r="I167" s="226"/>
      <c r="J167" s="226"/>
      <c r="K167" s="226"/>
      <c r="L167" s="226"/>
      <c r="M167" s="226"/>
      <c r="N167" s="230">
        <f>N168</f>
        <v>434.48</v>
      </c>
    </row>
    <row r="168" spans="1:14" x14ac:dyDescent="0.25">
      <c r="A168" s="223"/>
      <c r="B168" s="229"/>
      <c r="C168" s="225"/>
      <c r="D168" s="226"/>
      <c r="E168" s="226">
        <f>295.34+139.14</f>
        <v>434.48</v>
      </c>
      <c r="F168" s="226"/>
      <c r="G168" s="226"/>
      <c r="H168" s="226"/>
      <c r="I168" s="226"/>
      <c r="J168" s="226"/>
      <c r="K168" s="226"/>
      <c r="L168" s="226"/>
      <c r="M168" s="226"/>
      <c r="N168" s="228">
        <f>E168</f>
        <v>434.48</v>
      </c>
    </row>
    <row r="169" spans="1:14" x14ac:dyDescent="0.25">
      <c r="A169" s="223"/>
      <c r="B169" s="229"/>
      <c r="C169" s="225"/>
      <c r="D169" s="226"/>
      <c r="E169" s="226"/>
      <c r="F169" s="226"/>
      <c r="G169" s="226"/>
      <c r="H169" s="226"/>
      <c r="I169" s="226"/>
      <c r="J169" s="226"/>
      <c r="K169" s="226"/>
      <c r="L169" s="226"/>
      <c r="M169" s="226"/>
      <c r="N169" s="230"/>
    </row>
    <row r="170" spans="1:14" x14ac:dyDescent="0.25">
      <c r="A170" s="231" t="s">
        <v>587</v>
      </c>
      <c r="B170" s="224" t="s">
        <v>471</v>
      </c>
      <c r="C170" s="225"/>
      <c r="D170" s="226"/>
      <c r="E170" s="226"/>
      <c r="F170" s="226"/>
      <c r="G170" s="226"/>
      <c r="H170" s="226"/>
      <c r="I170" s="226"/>
      <c r="J170" s="226"/>
      <c r="K170" s="226"/>
      <c r="L170" s="226"/>
      <c r="M170" s="226"/>
      <c r="N170" s="230"/>
    </row>
    <row r="171" spans="1:14" x14ac:dyDescent="0.25">
      <c r="A171" s="223" t="s">
        <v>588</v>
      </c>
      <c r="B171" s="229" t="s">
        <v>48</v>
      </c>
      <c r="C171" s="225" t="s">
        <v>42</v>
      </c>
      <c r="D171" s="226"/>
      <c r="E171" s="226"/>
      <c r="F171" s="226"/>
      <c r="G171" s="226"/>
      <c r="H171" s="226"/>
      <c r="I171" s="226"/>
      <c r="J171" s="226"/>
      <c r="K171" s="226"/>
      <c r="L171" s="226"/>
      <c r="M171" s="226"/>
      <c r="N171" s="230">
        <f>N172</f>
        <v>36.65</v>
      </c>
    </row>
    <row r="172" spans="1:14" x14ac:dyDescent="0.25">
      <c r="A172" s="223"/>
      <c r="B172" s="229"/>
      <c r="C172" s="225"/>
      <c r="D172" s="226"/>
      <c r="E172" s="226">
        <f>DRENAGEM!C14</f>
        <v>36.65</v>
      </c>
      <c r="F172" s="226"/>
      <c r="G172" s="226"/>
      <c r="H172" s="226"/>
      <c r="I172" s="226"/>
      <c r="J172" s="226"/>
      <c r="K172" s="226"/>
      <c r="L172" s="226"/>
      <c r="M172" s="226"/>
      <c r="N172" s="228">
        <f>E172</f>
        <v>36.65</v>
      </c>
    </row>
    <row r="173" spans="1:14" x14ac:dyDescent="0.25">
      <c r="A173" s="223"/>
      <c r="B173" s="229"/>
      <c r="C173" s="225"/>
      <c r="D173" s="226"/>
      <c r="E173" s="226"/>
      <c r="F173" s="226"/>
      <c r="G173" s="226"/>
      <c r="H173" s="226"/>
      <c r="I173" s="226"/>
      <c r="J173" s="226"/>
      <c r="K173" s="226"/>
      <c r="L173" s="226"/>
      <c r="M173" s="226"/>
      <c r="N173" s="230"/>
    </row>
    <row r="174" spans="1:14" ht="102" x14ac:dyDescent="0.25">
      <c r="A174" s="223" t="s">
        <v>589</v>
      </c>
      <c r="B174" s="229" t="s">
        <v>50</v>
      </c>
      <c r="C174" s="225" t="s">
        <v>34</v>
      </c>
      <c r="D174" s="226"/>
      <c r="E174" s="226"/>
      <c r="F174" s="226"/>
      <c r="G174" s="226"/>
      <c r="H174" s="226"/>
      <c r="I174" s="226"/>
      <c r="J174" s="226"/>
      <c r="K174" s="226"/>
      <c r="L174" s="226"/>
      <c r="M174" s="226"/>
      <c r="N174" s="230">
        <f>N175</f>
        <v>82.46</v>
      </c>
    </row>
    <row r="175" spans="1:14" x14ac:dyDescent="0.25">
      <c r="A175" s="223"/>
      <c r="B175" s="229"/>
      <c r="C175" s="225"/>
      <c r="D175" s="226"/>
      <c r="E175" s="226"/>
      <c r="F175" s="226"/>
      <c r="G175" s="226"/>
      <c r="H175" s="226"/>
      <c r="I175" s="226"/>
      <c r="J175" s="226"/>
      <c r="K175" s="226"/>
      <c r="L175" s="226"/>
      <c r="M175" s="226">
        <f>DRENAGEM!U14</f>
        <v>82.46</v>
      </c>
      <c r="N175" s="228">
        <f>M175</f>
        <v>82.46</v>
      </c>
    </row>
    <row r="176" spans="1:14" x14ac:dyDescent="0.25">
      <c r="A176" s="223"/>
      <c r="B176" s="229"/>
      <c r="C176" s="225"/>
      <c r="D176" s="226"/>
      <c r="E176" s="226"/>
      <c r="F176" s="226"/>
      <c r="G176" s="226"/>
      <c r="H176" s="226"/>
      <c r="I176" s="226"/>
      <c r="J176" s="226"/>
      <c r="K176" s="226"/>
      <c r="L176" s="226"/>
      <c r="M176" s="226"/>
      <c r="N176" s="230"/>
    </row>
    <row r="177" spans="1:14" ht="114.75" x14ac:dyDescent="0.25">
      <c r="A177" s="223" t="s">
        <v>590</v>
      </c>
      <c r="B177" s="229" t="s">
        <v>51</v>
      </c>
      <c r="C177" s="225" t="s">
        <v>34</v>
      </c>
      <c r="D177" s="226"/>
      <c r="E177" s="226"/>
      <c r="F177" s="226"/>
      <c r="G177" s="226"/>
      <c r="H177" s="226"/>
      <c r="I177" s="226"/>
      <c r="J177" s="226"/>
      <c r="K177" s="226"/>
      <c r="L177" s="226"/>
      <c r="M177" s="226"/>
      <c r="N177" s="230">
        <f>N178</f>
        <v>9.4700000000000006</v>
      </c>
    </row>
    <row r="178" spans="1:14" x14ac:dyDescent="0.25">
      <c r="A178" s="223"/>
      <c r="B178" s="229"/>
      <c r="C178" s="225"/>
      <c r="D178" s="226"/>
      <c r="E178" s="226"/>
      <c r="F178" s="226"/>
      <c r="G178" s="226"/>
      <c r="H178" s="226"/>
      <c r="I178" s="226"/>
      <c r="J178" s="226"/>
      <c r="K178" s="226"/>
      <c r="L178" s="226"/>
      <c r="M178" s="226">
        <f>DRENAGEM!V14</f>
        <v>9.4700000000000006</v>
      </c>
      <c r="N178" s="228">
        <f>M178</f>
        <v>9.4700000000000006</v>
      </c>
    </row>
    <row r="179" spans="1:14" x14ac:dyDescent="0.25">
      <c r="A179" s="223"/>
      <c r="B179" s="229"/>
      <c r="C179" s="225"/>
      <c r="D179" s="226"/>
      <c r="E179" s="226"/>
      <c r="F179" s="226"/>
      <c r="G179" s="226"/>
      <c r="H179" s="226"/>
      <c r="I179" s="226"/>
      <c r="J179" s="226"/>
      <c r="K179" s="226"/>
      <c r="L179" s="226"/>
      <c r="M179" s="226"/>
      <c r="N179" s="230"/>
    </row>
    <row r="180" spans="1:14" ht="89.25" x14ac:dyDescent="0.25">
      <c r="A180" s="223" t="s">
        <v>591</v>
      </c>
      <c r="B180" s="229" t="s">
        <v>266</v>
      </c>
      <c r="C180" s="225" t="s">
        <v>42</v>
      </c>
      <c r="D180" s="226"/>
      <c r="E180" s="226"/>
      <c r="F180" s="226"/>
      <c r="G180" s="226"/>
      <c r="H180" s="226"/>
      <c r="I180" s="226"/>
      <c r="J180" s="226"/>
      <c r="K180" s="226"/>
      <c r="L180" s="226"/>
      <c r="M180" s="226"/>
      <c r="N180" s="230">
        <f>N181</f>
        <v>36.65</v>
      </c>
    </row>
    <row r="181" spans="1:14" x14ac:dyDescent="0.25">
      <c r="A181" s="223"/>
      <c r="B181" s="229"/>
      <c r="C181" s="225"/>
      <c r="D181" s="226"/>
      <c r="E181" s="226">
        <f>DRENAGEM!C14</f>
        <v>36.65</v>
      </c>
      <c r="F181" s="226"/>
      <c r="G181" s="226"/>
      <c r="H181" s="226"/>
      <c r="I181" s="226"/>
      <c r="J181" s="226"/>
      <c r="K181" s="226"/>
      <c r="L181" s="226"/>
      <c r="M181" s="226"/>
      <c r="N181" s="228">
        <f>E181</f>
        <v>36.65</v>
      </c>
    </row>
    <row r="182" spans="1:14" x14ac:dyDescent="0.25">
      <c r="A182" s="223"/>
      <c r="B182" s="229"/>
      <c r="C182" s="225"/>
      <c r="D182" s="226"/>
      <c r="E182" s="226"/>
      <c r="F182" s="226"/>
      <c r="G182" s="226"/>
      <c r="H182" s="226"/>
      <c r="I182" s="226"/>
      <c r="J182" s="226"/>
      <c r="K182" s="226"/>
      <c r="L182" s="226"/>
      <c r="M182" s="226"/>
      <c r="N182" s="230"/>
    </row>
    <row r="183" spans="1:14" ht="63.75" x14ac:dyDescent="0.25">
      <c r="A183" s="223" t="s">
        <v>592</v>
      </c>
      <c r="B183" s="229" t="s">
        <v>53</v>
      </c>
      <c r="C183" s="225" t="s">
        <v>30</v>
      </c>
      <c r="D183" s="226"/>
      <c r="E183" s="226"/>
      <c r="F183" s="226"/>
      <c r="G183" s="226"/>
      <c r="H183" s="226"/>
      <c r="I183" s="226"/>
      <c r="J183" s="226"/>
      <c r="K183" s="226"/>
      <c r="L183" s="226"/>
      <c r="M183" s="226"/>
      <c r="N183" s="230">
        <f>N184</f>
        <v>8.25</v>
      </c>
    </row>
    <row r="184" spans="1:14" x14ac:dyDescent="0.25">
      <c r="A184" s="223"/>
      <c r="B184" s="229"/>
      <c r="C184" s="225"/>
      <c r="D184" s="226"/>
      <c r="E184" s="226"/>
      <c r="F184" s="226"/>
      <c r="G184" s="226"/>
      <c r="H184" s="226"/>
      <c r="I184" s="226"/>
      <c r="J184" s="226"/>
      <c r="K184" s="226"/>
      <c r="L184" s="226"/>
      <c r="M184" s="226">
        <f>DRENAGEM!X14</f>
        <v>8.25</v>
      </c>
      <c r="N184" s="228">
        <f>M184</f>
        <v>8.25</v>
      </c>
    </row>
    <row r="185" spans="1:14" x14ac:dyDescent="0.25">
      <c r="A185" s="223"/>
      <c r="B185" s="229"/>
      <c r="C185" s="225"/>
      <c r="D185" s="226"/>
      <c r="E185" s="226"/>
      <c r="F185" s="226"/>
      <c r="G185" s="226"/>
      <c r="H185" s="226"/>
      <c r="I185" s="226"/>
      <c r="J185" s="226"/>
      <c r="K185" s="226"/>
      <c r="L185" s="226"/>
      <c r="M185" s="226"/>
      <c r="N185" s="230"/>
    </row>
    <row r="186" spans="1:14" ht="38.25" x14ac:dyDescent="0.25">
      <c r="A186" s="223" t="s">
        <v>593</v>
      </c>
      <c r="B186" s="229" t="s">
        <v>271</v>
      </c>
      <c r="C186" s="225" t="s">
        <v>34</v>
      </c>
      <c r="D186" s="226"/>
      <c r="E186" s="226"/>
      <c r="F186" s="226"/>
      <c r="G186" s="226"/>
      <c r="H186" s="226"/>
      <c r="I186" s="226"/>
      <c r="J186" s="226"/>
      <c r="K186" s="226"/>
      <c r="L186" s="226"/>
      <c r="M186" s="226"/>
      <c r="N186" s="230">
        <f>N187</f>
        <v>76.48</v>
      </c>
    </row>
    <row r="187" spans="1:14" x14ac:dyDescent="0.25">
      <c r="A187" s="223"/>
      <c r="B187" s="229"/>
      <c r="C187" s="225"/>
      <c r="D187" s="226"/>
      <c r="E187" s="226"/>
      <c r="F187" s="226"/>
      <c r="G187" s="226"/>
      <c r="H187" s="226"/>
      <c r="I187" s="226"/>
      <c r="J187" s="226"/>
      <c r="K187" s="226"/>
      <c r="L187" s="226"/>
      <c r="M187" s="226">
        <f>DRENAGEM!W14</f>
        <v>76.48</v>
      </c>
      <c r="N187" s="228">
        <f>M187</f>
        <v>76.48</v>
      </c>
    </row>
    <row r="188" spans="1:14" x14ac:dyDescent="0.25">
      <c r="A188" s="223"/>
      <c r="B188" s="229"/>
      <c r="C188" s="225"/>
      <c r="D188" s="226"/>
      <c r="E188" s="226"/>
      <c r="F188" s="226"/>
      <c r="G188" s="226"/>
      <c r="H188" s="226"/>
      <c r="I188" s="226"/>
      <c r="J188" s="226"/>
      <c r="K188" s="226"/>
      <c r="L188" s="226"/>
      <c r="M188" s="226"/>
      <c r="N188" s="230"/>
    </row>
    <row r="189" spans="1:14" ht="76.5" x14ac:dyDescent="0.25">
      <c r="A189" s="223" t="s">
        <v>594</v>
      </c>
      <c r="B189" s="229" t="s">
        <v>45</v>
      </c>
      <c r="C189" s="225" t="s">
        <v>34</v>
      </c>
      <c r="D189" s="226"/>
      <c r="E189" s="226"/>
      <c r="F189" s="226"/>
      <c r="G189" s="226"/>
      <c r="H189" s="226"/>
      <c r="I189" s="226"/>
      <c r="J189" s="226"/>
      <c r="K189" s="226"/>
      <c r="L189" s="226"/>
      <c r="M189" s="226"/>
      <c r="N189" s="230">
        <f>N190</f>
        <v>15.45</v>
      </c>
    </row>
    <row r="190" spans="1:14" x14ac:dyDescent="0.25">
      <c r="A190" s="223"/>
      <c r="B190" s="229"/>
      <c r="C190" s="225"/>
      <c r="D190" s="226"/>
      <c r="E190" s="226"/>
      <c r="F190" s="226"/>
      <c r="G190" s="226"/>
      <c r="H190" s="226"/>
      <c r="I190" s="226"/>
      <c r="J190" s="226"/>
      <c r="K190" s="226"/>
      <c r="L190" s="226"/>
      <c r="M190" s="226">
        <f>DRENAGEM!Y14</f>
        <v>15.45</v>
      </c>
      <c r="N190" s="228">
        <f>M190</f>
        <v>15.45</v>
      </c>
    </row>
    <row r="191" spans="1:14" x14ac:dyDescent="0.25">
      <c r="A191" s="223"/>
      <c r="B191" s="229"/>
      <c r="C191" s="225"/>
      <c r="D191" s="226"/>
      <c r="E191" s="226"/>
      <c r="F191" s="226"/>
      <c r="G191" s="226"/>
      <c r="H191" s="226"/>
      <c r="I191" s="226"/>
      <c r="J191" s="226"/>
      <c r="K191" s="226"/>
      <c r="L191" s="226"/>
      <c r="M191" s="226"/>
      <c r="N191" s="230"/>
    </row>
    <row r="192" spans="1:14" ht="38.25" x14ac:dyDescent="0.25">
      <c r="A192" s="223" t="s">
        <v>595</v>
      </c>
      <c r="B192" s="229" t="s">
        <v>54</v>
      </c>
      <c r="C192" s="225" t="s">
        <v>55</v>
      </c>
      <c r="D192" s="226"/>
      <c r="E192" s="237" t="s">
        <v>281</v>
      </c>
      <c r="F192" s="226"/>
      <c r="G192" s="226"/>
      <c r="H192" s="226"/>
      <c r="I192" s="226"/>
      <c r="J192" s="226"/>
      <c r="K192" s="239" t="s">
        <v>280</v>
      </c>
      <c r="L192" s="226"/>
      <c r="M192" s="226"/>
      <c r="N192" s="230">
        <f>N193</f>
        <v>96.56</v>
      </c>
    </row>
    <row r="193" spans="1:14" x14ac:dyDescent="0.25">
      <c r="A193" s="223"/>
      <c r="B193" s="229"/>
      <c r="C193" s="225"/>
      <c r="D193" s="226"/>
      <c r="E193" s="226">
        <v>5</v>
      </c>
      <c r="F193" s="226"/>
      <c r="G193" s="226"/>
      <c r="H193" s="226"/>
      <c r="I193" s="226"/>
      <c r="J193" s="226"/>
      <c r="K193" s="238">
        <v>1.25</v>
      </c>
      <c r="L193" s="226"/>
      <c r="M193" s="226">
        <f>M190</f>
        <v>15.45</v>
      </c>
      <c r="N193" s="228">
        <f>E193*K193*M193</f>
        <v>96.56</v>
      </c>
    </row>
    <row r="194" spans="1:14" x14ac:dyDescent="0.25">
      <c r="A194" s="223"/>
      <c r="B194" s="229"/>
      <c r="C194" s="225"/>
      <c r="D194" s="226"/>
      <c r="E194" s="226"/>
      <c r="F194" s="226"/>
      <c r="G194" s="226"/>
      <c r="H194" s="226"/>
      <c r="I194" s="226"/>
      <c r="J194" s="226"/>
      <c r="K194" s="226"/>
      <c r="L194" s="226"/>
      <c r="M194" s="226"/>
      <c r="N194" s="230"/>
    </row>
    <row r="195" spans="1:14" ht="63.75" x14ac:dyDescent="0.25">
      <c r="A195" s="223" t="s">
        <v>596</v>
      </c>
      <c r="B195" s="229" t="s">
        <v>275</v>
      </c>
      <c r="C195" s="225" t="s">
        <v>30</v>
      </c>
      <c r="D195" s="226"/>
      <c r="E195" s="226"/>
      <c r="F195" s="226"/>
      <c r="G195" s="226"/>
      <c r="H195" s="226"/>
      <c r="I195" s="226"/>
      <c r="J195" s="226"/>
      <c r="K195" s="226"/>
      <c r="L195" s="226"/>
      <c r="M195" s="226"/>
      <c r="N195" s="230">
        <f>N196</f>
        <v>111.58</v>
      </c>
    </row>
    <row r="196" spans="1:14" x14ac:dyDescent="0.25">
      <c r="A196" s="223"/>
      <c r="B196" s="229"/>
      <c r="C196" s="225"/>
      <c r="D196" s="226"/>
      <c r="E196" s="226"/>
      <c r="F196" s="226"/>
      <c r="G196" s="226">
        <f>DRENAGEM!Z14</f>
        <v>111.58</v>
      </c>
      <c r="H196" s="226"/>
      <c r="I196" s="226"/>
      <c r="J196" s="226"/>
      <c r="K196" s="226"/>
      <c r="L196" s="226"/>
      <c r="M196" s="226"/>
      <c r="N196" s="228">
        <f>G196</f>
        <v>111.58</v>
      </c>
    </row>
    <row r="197" spans="1:14" x14ac:dyDescent="0.25">
      <c r="A197" s="223"/>
      <c r="B197" s="229"/>
      <c r="C197" s="225"/>
      <c r="D197" s="226"/>
      <c r="E197" s="226"/>
      <c r="F197" s="226"/>
      <c r="G197" s="226"/>
      <c r="H197" s="226"/>
      <c r="I197" s="226"/>
      <c r="J197" s="226"/>
      <c r="K197" s="226"/>
      <c r="L197" s="226"/>
      <c r="M197" s="226"/>
      <c r="N197" s="230"/>
    </row>
    <row r="198" spans="1:14" ht="63.75" x14ac:dyDescent="0.25">
      <c r="A198" s="223" t="s">
        <v>597</v>
      </c>
      <c r="B198" s="229" t="s">
        <v>58</v>
      </c>
      <c r="C198" s="225" t="s">
        <v>42</v>
      </c>
      <c r="D198" s="226"/>
      <c r="E198" s="226"/>
      <c r="F198" s="226"/>
      <c r="G198" s="226"/>
      <c r="H198" s="226"/>
      <c r="I198" s="226"/>
      <c r="J198" s="226"/>
      <c r="K198" s="226"/>
      <c r="L198" s="226"/>
      <c r="M198" s="226"/>
      <c r="N198" s="230">
        <f>N199</f>
        <v>1.8</v>
      </c>
    </row>
    <row r="199" spans="1:14" x14ac:dyDescent="0.25">
      <c r="A199" s="223"/>
      <c r="B199" s="229"/>
      <c r="C199" s="225"/>
      <c r="D199" s="226"/>
      <c r="E199" s="226"/>
      <c r="F199" s="226">
        <v>0.6</v>
      </c>
      <c r="G199" s="226"/>
      <c r="H199" s="226"/>
      <c r="I199" s="226">
        <v>3</v>
      </c>
      <c r="J199" s="226"/>
      <c r="K199" s="226"/>
      <c r="L199" s="226"/>
      <c r="M199" s="226"/>
      <c r="N199" s="228">
        <f>F199*I199</f>
        <v>1.8</v>
      </c>
    </row>
    <row r="200" spans="1:14" x14ac:dyDescent="0.25">
      <c r="A200" s="223"/>
      <c r="B200" s="229"/>
      <c r="C200" s="225"/>
      <c r="D200" s="226"/>
      <c r="E200" s="226"/>
      <c r="F200" s="226"/>
      <c r="G200" s="226"/>
      <c r="H200" s="226"/>
      <c r="I200" s="226"/>
      <c r="J200" s="226"/>
      <c r="K200" s="226"/>
      <c r="L200" s="226"/>
      <c r="M200" s="226"/>
      <c r="N200" s="230"/>
    </row>
    <row r="201" spans="1:14" ht="63.75" x14ac:dyDescent="0.25">
      <c r="A201" s="223" t="s">
        <v>598</v>
      </c>
      <c r="B201" s="229" t="s">
        <v>445</v>
      </c>
      <c r="C201" s="225" t="s">
        <v>57</v>
      </c>
      <c r="D201" s="226"/>
      <c r="E201" s="226"/>
      <c r="F201" s="226"/>
      <c r="G201" s="226"/>
      <c r="H201" s="226"/>
      <c r="I201" s="226"/>
      <c r="J201" s="226"/>
      <c r="K201" s="226"/>
      <c r="L201" s="226"/>
      <c r="M201" s="226"/>
      <c r="N201" s="230">
        <f>N202</f>
        <v>8</v>
      </c>
    </row>
    <row r="202" spans="1:14" x14ac:dyDescent="0.25">
      <c r="A202" s="223"/>
      <c r="B202" s="229"/>
      <c r="C202" s="225"/>
      <c r="D202" s="226"/>
      <c r="E202" s="226"/>
      <c r="F202" s="226"/>
      <c r="G202" s="226"/>
      <c r="H202" s="226"/>
      <c r="I202" s="226">
        <v>8</v>
      </c>
      <c r="J202" s="226"/>
      <c r="K202" s="226"/>
      <c r="L202" s="226"/>
      <c r="M202" s="226"/>
      <c r="N202" s="228">
        <f>I202</f>
        <v>8</v>
      </c>
    </row>
    <row r="203" spans="1:14" x14ac:dyDescent="0.25">
      <c r="A203" s="223"/>
      <c r="B203" s="229"/>
      <c r="C203" s="225"/>
      <c r="D203" s="226"/>
      <c r="E203" s="226"/>
      <c r="F203" s="226"/>
      <c r="G203" s="226"/>
      <c r="H203" s="226"/>
      <c r="I203" s="226"/>
      <c r="J203" s="226"/>
      <c r="K203" s="226"/>
      <c r="L203" s="226"/>
      <c r="M203" s="226"/>
      <c r="N203" s="230"/>
    </row>
    <row r="204" spans="1:14" ht="51" x14ac:dyDescent="0.25">
      <c r="A204" s="223" t="s">
        <v>599</v>
      </c>
      <c r="B204" s="229" t="s">
        <v>274</v>
      </c>
      <c r="C204" s="225" t="s">
        <v>57</v>
      </c>
      <c r="D204" s="226"/>
      <c r="E204" s="226"/>
      <c r="F204" s="226"/>
      <c r="G204" s="226"/>
      <c r="H204" s="226"/>
      <c r="I204" s="226"/>
      <c r="J204" s="226"/>
      <c r="K204" s="226"/>
      <c r="L204" s="226"/>
      <c r="M204" s="226"/>
      <c r="N204" s="230">
        <f>N205</f>
        <v>3</v>
      </c>
    </row>
    <row r="205" spans="1:14" x14ac:dyDescent="0.25">
      <c r="A205" s="223"/>
      <c r="B205" s="229"/>
      <c r="C205" s="225"/>
      <c r="D205" s="226"/>
      <c r="E205" s="226"/>
      <c r="F205" s="226"/>
      <c r="G205" s="226"/>
      <c r="H205" s="226"/>
      <c r="I205" s="226">
        <v>3</v>
      </c>
      <c r="J205" s="226"/>
      <c r="K205" s="226"/>
      <c r="L205" s="226"/>
      <c r="M205" s="226"/>
      <c r="N205" s="228">
        <f>I205</f>
        <v>3</v>
      </c>
    </row>
    <row r="206" spans="1:14" x14ac:dyDescent="0.25">
      <c r="A206" s="223"/>
      <c r="B206" s="229"/>
      <c r="C206" s="225"/>
      <c r="D206" s="226"/>
      <c r="E206" s="226"/>
      <c r="F206" s="226"/>
      <c r="G206" s="226"/>
      <c r="H206" s="226"/>
      <c r="I206" s="226"/>
      <c r="J206" s="226"/>
      <c r="K206" s="226"/>
      <c r="L206" s="226"/>
      <c r="M206" s="226"/>
      <c r="N206" s="230"/>
    </row>
    <row r="207" spans="1:14" x14ac:dyDescent="0.25">
      <c r="A207" s="232" t="s">
        <v>113</v>
      </c>
      <c r="B207" s="233" t="s">
        <v>450</v>
      </c>
      <c r="C207" s="234"/>
      <c r="D207" s="235"/>
      <c r="E207" s="235"/>
      <c r="F207" s="235"/>
      <c r="G207" s="235"/>
      <c r="H207" s="235"/>
      <c r="I207" s="235"/>
      <c r="J207" s="235"/>
      <c r="K207" s="235"/>
      <c r="L207" s="235"/>
      <c r="M207" s="235"/>
      <c r="N207" s="236"/>
    </row>
    <row r="208" spans="1:14" x14ac:dyDescent="0.25">
      <c r="A208" s="231" t="s">
        <v>114</v>
      </c>
      <c r="B208" s="224" t="s">
        <v>33</v>
      </c>
      <c r="C208" s="225"/>
      <c r="D208" s="226"/>
      <c r="E208" s="226"/>
      <c r="F208" s="226"/>
      <c r="G208" s="226"/>
      <c r="H208" s="226"/>
      <c r="I208" s="226"/>
      <c r="J208" s="226"/>
      <c r="K208" s="226"/>
      <c r="L208" s="226"/>
      <c r="M208" s="226"/>
      <c r="N208" s="230"/>
    </row>
    <row r="209" spans="1:14" ht="51" x14ac:dyDescent="0.25">
      <c r="A209" s="223" t="s">
        <v>115</v>
      </c>
      <c r="B209" s="229" t="s">
        <v>270</v>
      </c>
      <c r="C209" s="225" t="s">
        <v>34</v>
      </c>
      <c r="D209" s="226"/>
      <c r="E209" s="226"/>
      <c r="F209" s="226"/>
      <c r="G209" s="226"/>
      <c r="H209" s="226"/>
      <c r="I209" s="226"/>
      <c r="J209" s="226"/>
      <c r="K209" s="226"/>
      <c r="L209" s="226"/>
      <c r="M209" s="226"/>
      <c r="N209" s="230">
        <f>N210</f>
        <v>71.39</v>
      </c>
    </row>
    <row r="210" spans="1:14" x14ac:dyDescent="0.25">
      <c r="A210" s="223"/>
      <c r="B210" s="224" t="s">
        <v>279</v>
      </c>
      <c r="C210" s="225"/>
      <c r="D210" s="226"/>
      <c r="E210" s="226"/>
      <c r="F210" s="226"/>
      <c r="G210" s="226"/>
      <c r="H210" s="226"/>
      <c r="I210" s="226"/>
      <c r="J210" s="226"/>
      <c r="K210" s="226"/>
      <c r="L210" s="226"/>
      <c r="M210" s="226">
        <f>'MAPA DE CUBAÇÃO'!I55</f>
        <v>71.39</v>
      </c>
      <c r="N210" s="228">
        <f>M210</f>
        <v>71.39</v>
      </c>
    </row>
    <row r="211" spans="1:14" x14ac:dyDescent="0.25">
      <c r="A211" s="223"/>
      <c r="B211" s="229"/>
      <c r="C211" s="225"/>
      <c r="D211" s="226"/>
      <c r="E211" s="226"/>
      <c r="F211" s="226"/>
      <c r="G211" s="226"/>
      <c r="H211" s="226"/>
      <c r="I211" s="226"/>
      <c r="J211" s="226"/>
      <c r="K211" s="226"/>
      <c r="L211" s="226"/>
      <c r="M211" s="226"/>
      <c r="N211" s="230"/>
    </row>
    <row r="212" spans="1:14" ht="76.5" x14ac:dyDescent="0.25">
      <c r="A212" s="223" t="s">
        <v>116</v>
      </c>
      <c r="B212" s="229" t="s">
        <v>45</v>
      </c>
      <c r="C212" s="225" t="s">
        <v>34</v>
      </c>
      <c r="D212" s="226"/>
      <c r="E212" s="226"/>
      <c r="F212" s="226"/>
      <c r="G212" s="226"/>
      <c r="H212" s="226"/>
      <c r="I212" s="226"/>
      <c r="J212" s="226"/>
      <c r="K212" s="239" t="s">
        <v>280</v>
      </c>
      <c r="L212" s="226"/>
      <c r="M212" s="226"/>
      <c r="N212" s="230">
        <f>N213</f>
        <v>89.24</v>
      </c>
    </row>
    <row r="213" spans="1:14" x14ac:dyDescent="0.25">
      <c r="A213" s="223"/>
      <c r="B213" s="224" t="s">
        <v>279</v>
      </c>
      <c r="C213" s="225"/>
      <c r="D213" s="226"/>
      <c r="E213" s="226"/>
      <c r="F213" s="226"/>
      <c r="G213" s="226"/>
      <c r="H213" s="226"/>
      <c r="I213" s="226"/>
      <c r="J213" s="226"/>
      <c r="K213" s="238">
        <v>1.25</v>
      </c>
      <c r="L213" s="226"/>
      <c r="M213" s="226">
        <f>N210</f>
        <v>71.39</v>
      </c>
      <c r="N213" s="228">
        <f>K213*M213</f>
        <v>89.24</v>
      </c>
    </row>
    <row r="214" spans="1:14" x14ac:dyDescent="0.25">
      <c r="A214" s="223"/>
      <c r="B214" s="229"/>
      <c r="C214" s="225"/>
      <c r="D214" s="226"/>
      <c r="E214" s="226"/>
      <c r="F214" s="226"/>
      <c r="G214" s="226"/>
      <c r="H214" s="226"/>
      <c r="I214" s="226"/>
      <c r="J214" s="226"/>
      <c r="K214" s="226"/>
      <c r="L214" s="226"/>
      <c r="M214" s="226"/>
      <c r="N214" s="230"/>
    </row>
    <row r="215" spans="1:14" ht="63.75" x14ac:dyDescent="0.25">
      <c r="A215" s="223" t="s">
        <v>117</v>
      </c>
      <c r="B215" s="229" t="s">
        <v>35</v>
      </c>
      <c r="C215" s="225" t="s">
        <v>36</v>
      </c>
      <c r="D215" s="226"/>
      <c r="E215" s="237" t="s">
        <v>281</v>
      </c>
      <c r="F215" s="226"/>
      <c r="G215" s="226"/>
      <c r="H215" s="226"/>
      <c r="I215" s="226"/>
      <c r="J215" s="226"/>
      <c r="K215" s="315"/>
      <c r="L215" s="226"/>
      <c r="M215" s="226"/>
      <c r="N215" s="230">
        <f>N216</f>
        <v>446.2</v>
      </c>
    </row>
    <row r="216" spans="1:14" x14ac:dyDescent="0.25">
      <c r="A216" s="223"/>
      <c r="B216" s="224" t="s">
        <v>279</v>
      </c>
      <c r="C216" s="225"/>
      <c r="D216" s="226"/>
      <c r="E216" s="226">
        <v>5</v>
      </c>
      <c r="F216" s="226"/>
      <c r="G216" s="226"/>
      <c r="H216" s="226"/>
      <c r="I216" s="226"/>
      <c r="J216" s="226"/>
      <c r="K216" s="316"/>
      <c r="L216" s="226"/>
      <c r="M216" s="226">
        <f>N213</f>
        <v>89.24</v>
      </c>
      <c r="N216" s="228">
        <f>M216*E216</f>
        <v>446.2</v>
      </c>
    </row>
    <row r="217" spans="1:14" x14ac:dyDescent="0.25">
      <c r="A217" s="223"/>
      <c r="B217" s="229"/>
      <c r="C217" s="225"/>
      <c r="D217" s="226"/>
      <c r="E217" s="226"/>
      <c r="F217" s="226"/>
      <c r="G217" s="226"/>
      <c r="H217" s="226"/>
      <c r="I217" s="226"/>
      <c r="J217" s="226"/>
      <c r="K217" s="226"/>
      <c r="L217" s="226"/>
      <c r="M217" s="226"/>
      <c r="N217" s="230"/>
    </row>
    <row r="218" spans="1:14" x14ac:dyDescent="0.25">
      <c r="A218" s="231" t="s">
        <v>118</v>
      </c>
      <c r="B218" s="224" t="s">
        <v>40</v>
      </c>
      <c r="C218" s="225"/>
      <c r="D218" s="226"/>
      <c r="E218" s="226"/>
      <c r="F218" s="226"/>
      <c r="G218" s="226"/>
      <c r="H218" s="226"/>
      <c r="I218" s="226"/>
      <c r="J218" s="226"/>
      <c r="K218" s="226"/>
      <c r="L218" s="226"/>
      <c r="M218" s="226"/>
      <c r="N218" s="230"/>
    </row>
    <row r="219" spans="1:14" ht="25.5" x14ac:dyDescent="0.25">
      <c r="A219" s="223" t="s">
        <v>119</v>
      </c>
      <c r="B219" s="229" t="s">
        <v>41</v>
      </c>
      <c r="C219" s="225" t="s">
        <v>42</v>
      </c>
      <c r="D219" s="226"/>
      <c r="E219" s="226"/>
      <c r="F219" s="226"/>
      <c r="G219" s="226"/>
      <c r="H219" s="226"/>
      <c r="I219" s="226"/>
      <c r="J219" s="226"/>
      <c r="K219" s="226"/>
      <c r="L219" s="226"/>
      <c r="M219" s="226"/>
      <c r="N219" s="230">
        <f>N220</f>
        <v>118.99</v>
      </c>
    </row>
    <row r="220" spans="1:14" x14ac:dyDescent="0.25">
      <c r="A220" s="223"/>
      <c r="B220" s="229"/>
      <c r="C220" s="225"/>
      <c r="D220" s="226"/>
      <c r="E220" s="226">
        <f>'MAPA DE CUBAÇÃO'!H63</f>
        <v>118.99</v>
      </c>
      <c r="F220" s="226"/>
      <c r="G220" s="226"/>
      <c r="H220" s="226"/>
      <c r="I220" s="226"/>
      <c r="J220" s="226"/>
      <c r="K220" s="226"/>
      <c r="L220" s="226"/>
      <c r="M220" s="226"/>
      <c r="N220" s="228">
        <f>E220</f>
        <v>118.99</v>
      </c>
    </row>
    <row r="221" spans="1:14" x14ac:dyDescent="0.25">
      <c r="A221" s="223"/>
      <c r="B221" s="229"/>
      <c r="C221" s="225"/>
      <c r="D221" s="226"/>
      <c r="E221" s="226"/>
      <c r="F221" s="226"/>
      <c r="G221" s="226"/>
      <c r="H221" s="226"/>
      <c r="I221" s="226"/>
      <c r="J221" s="226"/>
      <c r="K221" s="226"/>
      <c r="L221" s="226"/>
      <c r="M221" s="226"/>
      <c r="N221" s="228"/>
    </row>
    <row r="222" spans="1:14" ht="51" x14ac:dyDescent="0.25">
      <c r="A222" s="223" t="s">
        <v>120</v>
      </c>
      <c r="B222" s="229" t="s">
        <v>38</v>
      </c>
      <c r="C222" s="225" t="s">
        <v>30</v>
      </c>
      <c r="D222" s="226"/>
      <c r="E222" s="226"/>
      <c r="F222" s="226"/>
      <c r="G222" s="226"/>
      <c r="H222" s="226"/>
      <c r="I222" s="226"/>
      <c r="J222" s="226"/>
      <c r="K222" s="226"/>
      <c r="L222" s="226"/>
      <c r="M222" s="226"/>
      <c r="N222" s="230">
        <f>N223</f>
        <v>696.97</v>
      </c>
    </row>
    <row r="223" spans="1:14" x14ac:dyDescent="0.25">
      <c r="A223" s="223"/>
      <c r="B223" s="229"/>
      <c r="C223" s="225"/>
      <c r="D223" s="226"/>
      <c r="E223" s="226"/>
      <c r="F223" s="226"/>
      <c r="G223" s="226">
        <v>696.97</v>
      </c>
      <c r="H223" s="226"/>
      <c r="I223" s="226"/>
      <c r="J223" s="226"/>
      <c r="K223" s="226"/>
      <c r="L223" s="226"/>
      <c r="M223" s="226"/>
      <c r="N223" s="228">
        <f>G223</f>
        <v>696.97</v>
      </c>
    </row>
    <row r="224" spans="1:14" x14ac:dyDescent="0.25">
      <c r="A224" s="223"/>
      <c r="B224" s="229"/>
      <c r="C224" s="225"/>
      <c r="D224" s="226"/>
      <c r="E224" s="226"/>
      <c r="F224" s="226"/>
      <c r="G224" s="226"/>
      <c r="H224" s="226"/>
      <c r="I224" s="226"/>
      <c r="J224" s="226"/>
      <c r="K224" s="226"/>
      <c r="L224" s="226"/>
      <c r="M224" s="226"/>
      <c r="N224" s="230"/>
    </row>
    <row r="225" spans="1:14" ht="76.5" x14ac:dyDescent="0.25">
      <c r="A225" s="223" t="s">
        <v>121</v>
      </c>
      <c r="B225" s="229" t="s">
        <v>44</v>
      </c>
      <c r="C225" s="225" t="s">
        <v>30</v>
      </c>
      <c r="D225" s="226"/>
      <c r="E225" s="226"/>
      <c r="F225" s="226"/>
      <c r="G225" s="226"/>
      <c r="H225" s="226"/>
      <c r="I225" s="226"/>
      <c r="J225" s="226"/>
      <c r="K225" s="226"/>
      <c r="L225" s="226"/>
      <c r="M225" s="226"/>
      <c r="N225" s="230">
        <f>N226</f>
        <v>696.97</v>
      </c>
    </row>
    <row r="226" spans="1:14" x14ac:dyDescent="0.25">
      <c r="A226" s="223"/>
      <c r="B226" s="229"/>
      <c r="C226" s="225"/>
      <c r="D226" s="226"/>
      <c r="E226" s="226"/>
      <c r="F226" s="226"/>
      <c r="G226" s="226">
        <v>696.97</v>
      </c>
      <c r="H226" s="226"/>
      <c r="I226" s="226"/>
      <c r="J226" s="226"/>
      <c r="K226" s="226"/>
      <c r="L226" s="226"/>
      <c r="M226" s="226"/>
      <c r="N226" s="228">
        <f>G226</f>
        <v>696.97</v>
      </c>
    </row>
    <row r="227" spans="1:14" x14ac:dyDescent="0.25">
      <c r="A227" s="223"/>
      <c r="B227" s="229"/>
      <c r="C227" s="225"/>
      <c r="D227" s="226"/>
      <c r="E227" s="226"/>
      <c r="F227" s="226"/>
      <c r="G227" s="226"/>
      <c r="H227" s="226"/>
      <c r="I227" s="226"/>
      <c r="J227" s="226"/>
      <c r="K227" s="226"/>
      <c r="L227" s="226"/>
      <c r="M227" s="226"/>
      <c r="N227" s="230"/>
    </row>
    <row r="228" spans="1:14" ht="102" x14ac:dyDescent="0.25">
      <c r="A228" s="223" t="s">
        <v>122</v>
      </c>
      <c r="B228" s="229" t="s">
        <v>49</v>
      </c>
      <c r="C228" s="225" t="s">
        <v>42</v>
      </c>
      <c r="D228" s="226"/>
      <c r="E228" s="226"/>
      <c r="F228" s="226"/>
      <c r="G228" s="226"/>
      <c r="H228" s="226"/>
      <c r="I228" s="226"/>
      <c r="J228" s="226"/>
      <c r="K228" s="226"/>
      <c r="L228" s="226"/>
      <c r="M228" s="226"/>
      <c r="N228" s="230">
        <f>N229</f>
        <v>250.04</v>
      </c>
    </row>
    <row r="229" spans="1:14" x14ac:dyDescent="0.25">
      <c r="A229" s="223"/>
      <c r="B229" s="229"/>
      <c r="C229" s="225"/>
      <c r="D229" s="226"/>
      <c r="E229" s="226">
        <v>250.04</v>
      </c>
      <c r="F229" s="226"/>
      <c r="G229" s="226"/>
      <c r="H229" s="226"/>
      <c r="I229" s="226"/>
      <c r="J229" s="226"/>
      <c r="K229" s="226"/>
      <c r="L229" s="226"/>
      <c r="M229" s="226"/>
      <c r="N229" s="228">
        <f>E229</f>
        <v>250.04</v>
      </c>
    </row>
    <row r="230" spans="1:14" x14ac:dyDescent="0.25">
      <c r="A230" s="223"/>
      <c r="B230" s="229"/>
      <c r="C230" s="225"/>
      <c r="D230" s="226"/>
      <c r="E230" s="226"/>
      <c r="F230" s="226"/>
      <c r="G230" s="226"/>
      <c r="H230" s="226"/>
      <c r="I230" s="226"/>
      <c r="J230" s="226"/>
      <c r="K230" s="226"/>
      <c r="L230" s="226"/>
      <c r="M230" s="226"/>
      <c r="N230" s="230"/>
    </row>
    <row r="231" spans="1:14" x14ac:dyDescent="0.25">
      <c r="A231" s="232" t="s">
        <v>123</v>
      </c>
      <c r="B231" s="233" t="s">
        <v>451</v>
      </c>
      <c r="C231" s="234"/>
      <c r="D231" s="235"/>
      <c r="E231" s="235"/>
      <c r="F231" s="235"/>
      <c r="G231" s="235"/>
      <c r="H231" s="235"/>
      <c r="I231" s="235"/>
      <c r="J231" s="235"/>
      <c r="K231" s="235"/>
      <c r="L231" s="235"/>
      <c r="M231" s="235"/>
      <c r="N231" s="236"/>
    </row>
    <row r="232" spans="1:14" x14ac:dyDescent="0.25">
      <c r="A232" s="231" t="s">
        <v>124</v>
      </c>
      <c r="B232" s="224" t="s">
        <v>33</v>
      </c>
      <c r="C232" s="225"/>
      <c r="D232" s="226"/>
      <c r="E232" s="226"/>
      <c r="F232" s="226"/>
      <c r="G232" s="226"/>
      <c r="H232" s="226"/>
      <c r="I232" s="226"/>
      <c r="J232" s="226"/>
      <c r="K232" s="226"/>
      <c r="L232" s="226"/>
      <c r="M232" s="226"/>
      <c r="N232" s="230"/>
    </row>
    <row r="233" spans="1:14" ht="51" x14ac:dyDescent="0.25">
      <c r="A233" s="223" t="s">
        <v>125</v>
      </c>
      <c r="B233" s="229" t="s">
        <v>270</v>
      </c>
      <c r="C233" s="225" t="s">
        <v>34</v>
      </c>
      <c r="D233" s="226"/>
      <c r="E233" s="226"/>
      <c r="F233" s="226"/>
      <c r="G233" s="226"/>
      <c r="H233" s="226"/>
      <c r="I233" s="226"/>
      <c r="J233" s="226"/>
      <c r="K233" s="226"/>
      <c r="L233" s="226"/>
      <c r="M233" s="226"/>
      <c r="N233" s="230">
        <f>N234</f>
        <v>63.34</v>
      </c>
    </row>
    <row r="234" spans="1:14" x14ac:dyDescent="0.25">
      <c r="A234" s="223"/>
      <c r="B234" s="224" t="s">
        <v>279</v>
      </c>
      <c r="C234" s="225"/>
      <c r="D234" s="226"/>
      <c r="E234" s="226"/>
      <c r="F234" s="226"/>
      <c r="G234" s="226"/>
      <c r="H234" s="226"/>
      <c r="I234" s="226"/>
      <c r="J234" s="226"/>
      <c r="K234" s="226"/>
      <c r="L234" s="226"/>
      <c r="M234" s="226">
        <f>'MAPA DE CUBAÇÃO'!I64</f>
        <v>63.34</v>
      </c>
      <c r="N234" s="228">
        <f>M234</f>
        <v>63.34</v>
      </c>
    </row>
    <row r="235" spans="1:14" x14ac:dyDescent="0.25">
      <c r="A235" s="223"/>
      <c r="B235" s="229"/>
      <c r="C235" s="225"/>
      <c r="D235" s="226"/>
      <c r="E235" s="226"/>
      <c r="F235" s="226"/>
      <c r="G235" s="226"/>
      <c r="H235" s="226"/>
      <c r="I235" s="226"/>
      <c r="J235" s="226"/>
      <c r="K235" s="226"/>
      <c r="L235" s="226"/>
      <c r="M235" s="226"/>
      <c r="N235" s="230"/>
    </row>
    <row r="236" spans="1:14" ht="76.5" x14ac:dyDescent="0.25">
      <c r="A236" s="223" t="s">
        <v>126</v>
      </c>
      <c r="B236" s="229" t="s">
        <v>45</v>
      </c>
      <c r="C236" s="225" t="s">
        <v>34</v>
      </c>
      <c r="D236" s="226"/>
      <c r="E236" s="226"/>
      <c r="F236" s="226"/>
      <c r="G236" s="226"/>
      <c r="H236" s="226"/>
      <c r="I236" s="226"/>
      <c r="J236" s="226"/>
      <c r="K236" s="239" t="s">
        <v>280</v>
      </c>
      <c r="L236" s="226"/>
      <c r="M236" s="226"/>
      <c r="N236" s="230">
        <f>N237</f>
        <v>79.180000000000007</v>
      </c>
    </row>
    <row r="237" spans="1:14" x14ac:dyDescent="0.25">
      <c r="A237" s="223"/>
      <c r="B237" s="224" t="s">
        <v>279</v>
      </c>
      <c r="C237" s="225"/>
      <c r="D237" s="226"/>
      <c r="E237" s="226"/>
      <c r="F237" s="226"/>
      <c r="G237" s="226"/>
      <c r="H237" s="226"/>
      <c r="I237" s="226"/>
      <c r="J237" s="226"/>
      <c r="K237" s="238">
        <v>1.25</v>
      </c>
      <c r="L237" s="226"/>
      <c r="M237" s="226">
        <f>N234</f>
        <v>63.34</v>
      </c>
      <c r="N237" s="228">
        <f>K237*M237</f>
        <v>79.180000000000007</v>
      </c>
    </row>
    <row r="238" spans="1:14" x14ac:dyDescent="0.25">
      <c r="A238" s="223"/>
      <c r="B238" s="229"/>
      <c r="C238" s="225"/>
      <c r="D238" s="226"/>
      <c r="E238" s="226"/>
      <c r="F238" s="226"/>
      <c r="G238" s="226"/>
      <c r="H238" s="226"/>
      <c r="I238" s="226"/>
      <c r="J238" s="226"/>
      <c r="K238" s="226"/>
      <c r="L238" s="226"/>
      <c r="M238" s="226"/>
      <c r="N238" s="230"/>
    </row>
    <row r="239" spans="1:14" ht="63.75" x14ac:dyDescent="0.25">
      <c r="A239" s="223" t="s">
        <v>127</v>
      </c>
      <c r="B239" s="229" t="s">
        <v>35</v>
      </c>
      <c r="C239" s="225" t="s">
        <v>36</v>
      </c>
      <c r="D239" s="226"/>
      <c r="E239" s="237" t="s">
        <v>281</v>
      </c>
      <c r="F239" s="226"/>
      <c r="G239" s="226"/>
      <c r="H239" s="226"/>
      <c r="I239" s="226"/>
      <c r="J239" s="226"/>
      <c r="K239" s="315"/>
      <c r="L239" s="226"/>
      <c r="M239" s="226"/>
      <c r="N239" s="230">
        <f>N240</f>
        <v>395.9</v>
      </c>
    </row>
    <row r="240" spans="1:14" x14ac:dyDescent="0.25">
      <c r="A240" s="223"/>
      <c r="B240" s="224" t="s">
        <v>279</v>
      </c>
      <c r="C240" s="225"/>
      <c r="D240" s="226"/>
      <c r="E240" s="226">
        <v>5</v>
      </c>
      <c r="F240" s="226"/>
      <c r="G240" s="226"/>
      <c r="H240" s="226"/>
      <c r="I240" s="226"/>
      <c r="J240" s="226"/>
      <c r="K240" s="316"/>
      <c r="L240" s="226"/>
      <c r="M240" s="226">
        <f>N237</f>
        <v>79.180000000000007</v>
      </c>
      <c r="N240" s="228">
        <f>M240*E240</f>
        <v>395.9</v>
      </c>
    </row>
    <row r="241" spans="1:14" x14ac:dyDescent="0.25">
      <c r="A241" s="223"/>
      <c r="B241" s="229"/>
      <c r="C241" s="225"/>
      <c r="D241" s="226"/>
      <c r="E241" s="226"/>
      <c r="F241" s="226"/>
      <c r="G241" s="226"/>
      <c r="H241" s="226"/>
      <c r="I241" s="226"/>
      <c r="J241" s="226"/>
      <c r="K241" s="226"/>
      <c r="L241" s="226"/>
      <c r="M241" s="226"/>
      <c r="N241" s="230"/>
    </row>
    <row r="242" spans="1:14" x14ac:dyDescent="0.25">
      <c r="A242" s="231" t="s">
        <v>128</v>
      </c>
      <c r="B242" s="224" t="s">
        <v>40</v>
      </c>
      <c r="C242" s="225"/>
      <c r="D242" s="226"/>
      <c r="E242" s="226"/>
      <c r="F242" s="226"/>
      <c r="G242" s="226"/>
      <c r="H242" s="226"/>
      <c r="I242" s="226"/>
      <c r="J242" s="226"/>
      <c r="K242" s="226"/>
      <c r="L242" s="226"/>
      <c r="M242" s="226"/>
      <c r="N242" s="230"/>
    </row>
    <row r="243" spans="1:14" ht="25.5" x14ac:dyDescent="0.25">
      <c r="A243" s="223" t="s">
        <v>129</v>
      </c>
      <c r="B243" s="229" t="s">
        <v>41</v>
      </c>
      <c r="C243" s="225" t="s">
        <v>42</v>
      </c>
      <c r="D243" s="226"/>
      <c r="E243" s="226"/>
      <c r="F243" s="226"/>
      <c r="G243" s="226"/>
      <c r="H243" s="226"/>
      <c r="I243" s="226"/>
      <c r="J243" s="226"/>
      <c r="K243" s="226"/>
      <c r="L243" s="226"/>
      <c r="M243" s="226"/>
      <c r="N243" s="230">
        <f>N244</f>
        <v>126.68</v>
      </c>
    </row>
    <row r="244" spans="1:14" x14ac:dyDescent="0.25">
      <c r="A244" s="223"/>
      <c r="B244" s="229"/>
      <c r="C244" s="225"/>
      <c r="D244" s="226"/>
      <c r="E244" s="226">
        <f>'MAPA DE CUBAÇÃO'!H73</f>
        <v>126.68</v>
      </c>
      <c r="F244" s="226"/>
      <c r="G244" s="226"/>
      <c r="H244" s="226"/>
      <c r="I244" s="226"/>
      <c r="J244" s="226"/>
      <c r="K244" s="226"/>
      <c r="L244" s="226"/>
      <c r="M244" s="226"/>
      <c r="N244" s="228">
        <f>E244</f>
        <v>126.68</v>
      </c>
    </row>
    <row r="245" spans="1:14" x14ac:dyDescent="0.25">
      <c r="A245" s="223"/>
      <c r="B245" s="229"/>
      <c r="C245" s="225"/>
      <c r="D245" s="226"/>
      <c r="E245" s="226"/>
      <c r="F245" s="226"/>
      <c r="G245" s="226"/>
      <c r="H245" s="226"/>
      <c r="I245" s="226"/>
      <c r="J245" s="226"/>
      <c r="K245" s="226"/>
      <c r="L245" s="226"/>
      <c r="M245" s="226"/>
      <c r="N245" s="228"/>
    </row>
    <row r="246" spans="1:14" ht="51" x14ac:dyDescent="0.25">
      <c r="A246" s="223" t="s">
        <v>130</v>
      </c>
      <c r="B246" s="229" t="s">
        <v>38</v>
      </c>
      <c r="C246" s="225" t="s">
        <v>30</v>
      </c>
      <c r="D246" s="226"/>
      <c r="E246" s="226"/>
      <c r="F246" s="226"/>
      <c r="G246" s="226"/>
      <c r="H246" s="226"/>
      <c r="I246" s="226"/>
      <c r="J246" s="226"/>
      <c r="K246" s="226"/>
      <c r="L246" s="226"/>
      <c r="M246" s="226"/>
      <c r="N246" s="230">
        <f>N247</f>
        <v>629</v>
      </c>
    </row>
    <row r="247" spans="1:14" x14ac:dyDescent="0.25">
      <c r="A247" s="223"/>
      <c r="B247" s="229"/>
      <c r="C247" s="225"/>
      <c r="D247" s="226"/>
      <c r="E247" s="226"/>
      <c r="F247" s="226"/>
      <c r="G247" s="226">
        <v>629</v>
      </c>
      <c r="H247" s="226"/>
      <c r="I247" s="226"/>
      <c r="J247" s="226"/>
      <c r="K247" s="226"/>
      <c r="L247" s="226"/>
      <c r="M247" s="226"/>
      <c r="N247" s="228">
        <f>G247</f>
        <v>629</v>
      </c>
    </row>
    <row r="248" spans="1:14" x14ac:dyDescent="0.25">
      <c r="A248" s="223"/>
      <c r="B248" s="229"/>
      <c r="C248" s="225"/>
      <c r="D248" s="226"/>
      <c r="E248" s="226"/>
      <c r="F248" s="226"/>
      <c r="G248" s="226"/>
      <c r="H248" s="226"/>
      <c r="I248" s="226"/>
      <c r="J248" s="226"/>
      <c r="K248" s="226"/>
      <c r="L248" s="226"/>
      <c r="M248" s="226"/>
      <c r="N248" s="230"/>
    </row>
    <row r="249" spans="1:14" ht="76.5" x14ac:dyDescent="0.25">
      <c r="A249" s="223" t="s">
        <v>131</v>
      </c>
      <c r="B249" s="229" t="s">
        <v>44</v>
      </c>
      <c r="C249" s="225" t="s">
        <v>30</v>
      </c>
      <c r="D249" s="226"/>
      <c r="E249" s="226"/>
      <c r="F249" s="226"/>
      <c r="G249" s="226"/>
      <c r="H249" s="226"/>
      <c r="I249" s="226"/>
      <c r="J249" s="226"/>
      <c r="K249" s="226"/>
      <c r="L249" s="226"/>
      <c r="M249" s="226"/>
      <c r="N249" s="230">
        <f>N250</f>
        <v>629</v>
      </c>
    </row>
    <row r="250" spans="1:14" x14ac:dyDescent="0.25">
      <c r="A250" s="223"/>
      <c r="B250" s="229"/>
      <c r="C250" s="225"/>
      <c r="D250" s="226"/>
      <c r="E250" s="226"/>
      <c r="F250" s="226"/>
      <c r="G250" s="226">
        <v>629</v>
      </c>
      <c r="H250" s="226"/>
      <c r="I250" s="226"/>
      <c r="J250" s="226"/>
      <c r="K250" s="226"/>
      <c r="L250" s="226"/>
      <c r="M250" s="226"/>
      <c r="N250" s="228">
        <f>G250</f>
        <v>629</v>
      </c>
    </row>
    <row r="251" spans="1:14" x14ac:dyDescent="0.25">
      <c r="A251" s="223"/>
      <c r="B251" s="229"/>
      <c r="C251" s="225"/>
      <c r="D251" s="226"/>
      <c r="E251" s="226"/>
      <c r="F251" s="226"/>
      <c r="G251" s="226"/>
      <c r="H251" s="226"/>
      <c r="I251" s="226"/>
      <c r="J251" s="226"/>
      <c r="K251" s="226"/>
      <c r="L251" s="226"/>
      <c r="M251" s="226"/>
      <c r="N251" s="230"/>
    </row>
    <row r="252" spans="1:14" ht="102" x14ac:dyDescent="0.25">
      <c r="A252" s="223" t="s">
        <v>132</v>
      </c>
      <c r="B252" s="229" t="s">
        <v>49</v>
      </c>
      <c r="C252" s="225" t="s">
        <v>42</v>
      </c>
      <c r="D252" s="226"/>
      <c r="E252" s="226"/>
      <c r="F252" s="226"/>
      <c r="G252" s="226"/>
      <c r="H252" s="226"/>
      <c r="I252" s="226"/>
      <c r="J252" s="226"/>
      <c r="K252" s="226"/>
      <c r="L252" s="226"/>
      <c r="M252" s="226"/>
      <c r="N252" s="230">
        <f>N253</f>
        <v>266.66000000000003</v>
      </c>
    </row>
    <row r="253" spans="1:14" x14ac:dyDescent="0.25">
      <c r="A253" s="223"/>
      <c r="B253" s="229"/>
      <c r="C253" s="225"/>
      <c r="D253" s="226"/>
      <c r="E253" s="226">
        <v>266.66000000000003</v>
      </c>
      <c r="F253" s="226"/>
      <c r="G253" s="226"/>
      <c r="H253" s="226"/>
      <c r="I253" s="226"/>
      <c r="J253" s="226"/>
      <c r="K253" s="226"/>
      <c r="L253" s="226"/>
      <c r="M253" s="226"/>
      <c r="N253" s="228">
        <f>E253</f>
        <v>266.66000000000003</v>
      </c>
    </row>
    <row r="254" spans="1:14" x14ac:dyDescent="0.25">
      <c r="A254" s="223"/>
      <c r="B254" s="229"/>
      <c r="C254" s="225"/>
      <c r="D254" s="226"/>
      <c r="E254" s="226"/>
      <c r="F254" s="226"/>
      <c r="G254" s="226"/>
      <c r="H254" s="226"/>
      <c r="I254" s="226"/>
      <c r="J254" s="226"/>
      <c r="K254" s="226"/>
      <c r="L254" s="226"/>
      <c r="M254" s="226"/>
      <c r="N254" s="230"/>
    </row>
    <row r="255" spans="1:14" x14ac:dyDescent="0.25">
      <c r="A255" s="232" t="s">
        <v>133</v>
      </c>
      <c r="B255" s="233" t="s">
        <v>452</v>
      </c>
      <c r="C255" s="234"/>
      <c r="D255" s="235"/>
      <c r="E255" s="235"/>
      <c r="F255" s="235"/>
      <c r="G255" s="235"/>
      <c r="H255" s="235"/>
      <c r="I255" s="235"/>
      <c r="J255" s="235"/>
      <c r="K255" s="235"/>
      <c r="L255" s="235"/>
      <c r="M255" s="235"/>
      <c r="N255" s="236"/>
    </row>
    <row r="256" spans="1:14" x14ac:dyDescent="0.25">
      <c r="A256" s="231" t="s">
        <v>134</v>
      </c>
      <c r="B256" s="224" t="s">
        <v>33</v>
      </c>
      <c r="C256" s="225"/>
      <c r="D256" s="226"/>
      <c r="E256" s="226"/>
      <c r="F256" s="226"/>
      <c r="G256" s="226"/>
      <c r="H256" s="226"/>
      <c r="I256" s="226"/>
      <c r="J256" s="226"/>
      <c r="K256" s="226"/>
      <c r="L256" s="226"/>
      <c r="M256" s="226"/>
      <c r="N256" s="230"/>
    </row>
    <row r="257" spans="1:14" ht="51" x14ac:dyDescent="0.25">
      <c r="A257" s="223" t="s">
        <v>135</v>
      </c>
      <c r="B257" s="229" t="s">
        <v>270</v>
      </c>
      <c r="C257" s="225" t="s">
        <v>34</v>
      </c>
      <c r="D257" s="226"/>
      <c r="E257" s="226"/>
      <c r="F257" s="226"/>
      <c r="G257" s="226"/>
      <c r="H257" s="226"/>
      <c r="I257" s="226"/>
      <c r="J257" s="226"/>
      <c r="K257" s="226"/>
      <c r="L257" s="226"/>
      <c r="M257" s="226"/>
      <c r="N257" s="230">
        <f>N258</f>
        <v>113.12</v>
      </c>
    </row>
    <row r="258" spans="1:14" x14ac:dyDescent="0.25">
      <c r="A258" s="223"/>
      <c r="B258" s="224" t="s">
        <v>279</v>
      </c>
      <c r="C258" s="225"/>
      <c r="D258" s="226"/>
      <c r="E258" s="226"/>
      <c r="F258" s="226"/>
      <c r="G258" s="226"/>
      <c r="H258" s="226"/>
      <c r="I258" s="226"/>
      <c r="J258" s="226"/>
      <c r="K258" s="226"/>
      <c r="L258" s="226"/>
      <c r="M258" s="226">
        <f>'MAPA DE CUBAÇÃO'!I74</f>
        <v>113.12</v>
      </c>
      <c r="N258" s="228">
        <f>M258</f>
        <v>113.12</v>
      </c>
    </row>
    <row r="259" spans="1:14" x14ac:dyDescent="0.25">
      <c r="A259" s="223"/>
      <c r="B259" s="229"/>
      <c r="C259" s="225"/>
      <c r="D259" s="226"/>
      <c r="E259" s="226"/>
      <c r="F259" s="226"/>
      <c r="G259" s="226"/>
      <c r="H259" s="226"/>
      <c r="I259" s="226"/>
      <c r="J259" s="226"/>
      <c r="K259" s="226"/>
      <c r="L259" s="226"/>
      <c r="M259" s="226"/>
      <c r="N259" s="230"/>
    </row>
    <row r="260" spans="1:14" ht="76.5" x14ac:dyDescent="0.25">
      <c r="A260" s="223" t="s">
        <v>136</v>
      </c>
      <c r="B260" s="229" t="s">
        <v>45</v>
      </c>
      <c r="C260" s="225" t="s">
        <v>34</v>
      </c>
      <c r="D260" s="226"/>
      <c r="E260" s="226"/>
      <c r="F260" s="226"/>
      <c r="G260" s="226"/>
      <c r="H260" s="226"/>
      <c r="I260" s="226"/>
      <c r="J260" s="226"/>
      <c r="K260" s="239" t="s">
        <v>280</v>
      </c>
      <c r="L260" s="226"/>
      <c r="M260" s="226"/>
      <c r="N260" s="230">
        <f>N261</f>
        <v>141.4</v>
      </c>
    </row>
    <row r="261" spans="1:14" x14ac:dyDescent="0.25">
      <c r="A261" s="223"/>
      <c r="B261" s="224" t="s">
        <v>279</v>
      </c>
      <c r="C261" s="225"/>
      <c r="D261" s="226"/>
      <c r="E261" s="226"/>
      <c r="F261" s="226"/>
      <c r="G261" s="226"/>
      <c r="H261" s="226"/>
      <c r="I261" s="226"/>
      <c r="J261" s="226"/>
      <c r="K261" s="238">
        <v>1.25</v>
      </c>
      <c r="L261" s="226"/>
      <c r="M261" s="226">
        <f>N258</f>
        <v>113.12</v>
      </c>
      <c r="N261" s="228">
        <f>K261*M261</f>
        <v>141.4</v>
      </c>
    </row>
    <row r="262" spans="1:14" x14ac:dyDescent="0.25">
      <c r="A262" s="223"/>
      <c r="B262" s="229"/>
      <c r="C262" s="225"/>
      <c r="D262" s="226"/>
      <c r="E262" s="226"/>
      <c r="F262" s="226"/>
      <c r="G262" s="226"/>
      <c r="H262" s="226"/>
      <c r="I262" s="226"/>
      <c r="J262" s="226"/>
      <c r="K262" s="226"/>
      <c r="L262" s="226"/>
      <c r="M262" s="226"/>
      <c r="N262" s="230"/>
    </row>
    <row r="263" spans="1:14" ht="63.75" x14ac:dyDescent="0.25">
      <c r="A263" s="223" t="s">
        <v>137</v>
      </c>
      <c r="B263" s="229" t="s">
        <v>35</v>
      </c>
      <c r="C263" s="225" t="s">
        <v>36</v>
      </c>
      <c r="D263" s="226"/>
      <c r="E263" s="237" t="s">
        <v>281</v>
      </c>
      <c r="F263" s="226"/>
      <c r="G263" s="226"/>
      <c r="H263" s="226"/>
      <c r="I263" s="226"/>
      <c r="J263" s="226"/>
      <c r="K263" s="315"/>
      <c r="L263" s="226"/>
      <c r="M263" s="226"/>
      <c r="N263" s="230">
        <f>N264</f>
        <v>707</v>
      </c>
    </row>
    <row r="264" spans="1:14" x14ac:dyDescent="0.25">
      <c r="A264" s="223"/>
      <c r="B264" s="224" t="s">
        <v>279</v>
      </c>
      <c r="C264" s="225"/>
      <c r="D264" s="226"/>
      <c r="E264" s="226">
        <v>5</v>
      </c>
      <c r="F264" s="226"/>
      <c r="G264" s="226"/>
      <c r="H264" s="226"/>
      <c r="I264" s="226"/>
      <c r="J264" s="226"/>
      <c r="K264" s="316"/>
      <c r="L264" s="226"/>
      <c r="M264" s="226">
        <f>N261</f>
        <v>141.4</v>
      </c>
      <c r="N264" s="228">
        <f>M264*E264</f>
        <v>707</v>
      </c>
    </row>
    <row r="265" spans="1:14" x14ac:dyDescent="0.25">
      <c r="A265" s="223"/>
      <c r="B265" s="229"/>
      <c r="C265" s="225"/>
      <c r="D265" s="226"/>
      <c r="E265" s="226"/>
      <c r="F265" s="226"/>
      <c r="G265" s="226"/>
      <c r="H265" s="226"/>
      <c r="I265" s="226"/>
      <c r="J265" s="226"/>
      <c r="K265" s="226"/>
      <c r="L265" s="226"/>
      <c r="M265" s="226"/>
      <c r="N265" s="230"/>
    </row>
    <row r="266" spans="1:14" x14ac:dyDescent="0.25">
      <c r="A266" s="231" t="s">
        <v>138</v>
      </c>
      <c r="B266" s="224" t="s">
        <v>40</v>
      </c>
      <c r="C266" s="225"/>
      <c r="D266" s="226"/>
      <c r="E266" s="226"/>
      <c r="F266" s="226"/>
      <c r="G266" s="226"/>
      <c r="H266" s="226"/>
      <c r="I266" s="226"/>
      <c r="J266" s="226"/>
      <c r="K266" s="226"/>
      <c r="L266" s="226"/>
      <c r="M266" s="226"/>
      <c r="N266" s="230"/>
    </row>
    <row r="267" spans="1:14" ht="25.5" x14ac:dyDescent="0.25">
      <c r="A267" s="223" t="s">
        <v>139</v>
      </c>
      <c r="B267" s="229" t="s">
        <v>41</v>
      </c>
      <c r="C267" s="225" t="s">
        <v>42</v>
      </c>
      <c r="D267" s="226"/>
      <c r="E267" s="226"/>
      <c r="F267" s="226"/>
      <c r="G267" s="226"/>
      <c r="H267" s="226"/>
      <c r="I267" s="226"/>
      <c r="J267" s="226"/>
      <c r="K267" s="226"/>
      <c r="L267" s="226"/>
      <c r="M267" s="226"/>
      <c r="N267" s="230">
        <f>N268</f>
        <v>188.53</v>
      </c>
    </row>
    <row r="268" spans="1:14" x14ac:dyDescent="0.25">
      <c r="A268" s="223"/>
      <c r="B268" s="229"/>
      <c r="C268" s="225"/>
      <c r="D268" s="226"/>
      <c r="E268" s="226">
        <f>'MAPA DE CUBAÇÃO'!H86</f>
        <v>188.53</v>
      </c>
      <c r="F268" s="226"/>
      <c r="G268" s="226"/>
      <c r="H268" s="226"/>
      <c r="I268" s="226"/>
      <c r="J268" s="226"/>
      <c r="K268" s="226"/>
      <c r="L268" s="226"/>
      <c r="M268" s="226"/>
      <c r="N268" s="228">
        <f>E268</f>
        <v>188.53</v>
      </c>
    </row>
    <row r="269" spans="1:14" ht="51" x14ac:dyDescent="0.25">
      <c r="A269" s="223" t="s">
        <v>140</v>
      </c>
      <c r="B269" s="229" t="s">
        <v>38</v>
      </c>
      <c r="C269" s="225" t="s">
        <v>30</v>
      </c>
      <c r="D269" s="226"/>
      <c r="E269" s="226"/>
      <c r="F269" s="226"/>
      <c r="G269" s="226"/>
      <c r="H269" s="226"/>
      <c r="I269" s="226"/>
      <c r="J269" s="226"/>
      <c r="K269" s="226"/>
      <c r="L269" s="226"/>
      <c r="M269" s="226"/>
      <c r="N269" s="230">
        <f>N270</f>
        <v>1099.98</v>
      </c>
    </row>
    <row r="270" spans="1:14" x14ac:dyDescent="0.25">
      <c r="A270" s="223"/>
      <c r="B270" s="229"/>
      <c r="C270" s="225"/>
      <c r="D270" s="226"/>
      <c r="E270" s="226"/>
      <c r="F270" s="226"/>
      <c r="G270" s="226">
        <v>1099.98</v>
      </c>
      <c r="H270" s="226"/>
      <c r="I270" s="226"/>
      <c r="J270" s="226"/>
      <c r="K270" s="226"/>
      <c r="L270" s="226"/>
      <c r="M270" s="226"/>
      <c r="N270" s="228">
        <f>G270</f>
        <v>1099.98</v>
      </c>
    </row>
    <row r="271" spans="1:14" x14ac:dyDescent="0.25">
      <c r="A271" s="223"/>
      <c r="B271" s="229"/>
      <c r="C271" s="225"/>
      <c r="D271" s="226"/>
      <c r="E271" s="226"/>
      <c r="F271" s="226"/>
      <c r="G271" s="226"/>
      <c r="H271" s="226"/>
      <c r="I271" s="226"/>
      <c r="J271" s="226"/>
      <c r="K271" s="226"/>
      <c r="L271" s="226"/>
      <c r="M271" s="226"/>
      <c r="N271" s="230"/>
    </row>
    <row r="272" spans="1:14" ht="76.5" x14ac:dyDescent="0.25">
      <c r="A272" s="223" t="s">
        <v>141</v>
      </c>
      <c r="B272" s="229" t="s">
        <v>44</v>
      </c>
      <c r="C272" s="225" t="s">
        <v>30</v>
      </c>
      <c r="D272" s="226"/>
      <c r="E272" s="226"/>
      <c r="F272" s="226"/>
      <c r="G272" s="226"/>
      <c r="H272" s="226"/>
      <c r="I272" s="226"/>
      <c r="J272" s="226"/>
      <c r="K272" s="226"/>
      <c r="L272" s="226"/>
      <c r="M272" s="226"/>
      <c r="N272" s="230">
        <f>N273</f>
        <v>1099.98</v>
      </c>
    </row>
    <row r="273" spans="1:14" x14ac:dyDescent="0.25">
      <c r="A273" s="223"/>
      <c r="B273" s="229"/>
      <c r="C273" s="225"/>
      <c r="D273" s="226"/>
      <c r="E273" s="226"/>
      <c r="F273" s="226"/>
      <c r="G273" s="226">
        <v>1099.98</v>
      </c>
      <c r="H273" s="226"/>
      <c r="I273" s="226"/>
      <c r="J273" s="226"/>
      <c r="K273" s="226"/>
      <c r="L273" s="226"/>
      <c r="M273" s="226"/>
      <c r="N273" s="228">
        <f>G273</f>
        <v>1099.98</v>
      </c>
    </row>
    <row r="274" spans="1:14" x14ac:dyDescent="0.25">
      <c r="A274" s="223"/>
      <c r="B274" s="229"/>
      <c r="C274" s="225"/>
      <c r="D274" s="226"/>
      <c r="E274" s="226"/>
      <c r="F274" s="226"/>
      <c r="G274" s="226"/>
      <c r="H274" s="226"/>
      <c r="I274" s="226"/>
      <c r="J274" s="226"/>
      <c r="K274" s="226"/>
      <c r="L274" s="226"/>
      <c r="M274" s="226"/>
      <c r="N274" s="230"/>
    </row>
    <row r="275" spans="1:14" ht="102" x14ac:dyDescent="0.25">
      <c r="A275" s="223" t="s">
        <v>142</v>
      </c>
      <c r="B275" s="229" t="s">
        <v>49</v>
      </c>
      <c r="C275" s="225" t="s">
        <v>42</v>
      </c>
      <c r="D275" s="226"/>
      <c r="E275" s="226"/>
      <c r="F275" s="226"/>
      <c r="G275" s="226"/>
      <c r="H275" s="226"/>
      <c r="I275" s="226"/>
      <c r="J275" s="226"/>
      <c r="K275" s="226"/>
      <c r="L275" s="226"/>
      <c r="M275" s="226"/>
      <c r="N275" s="230">
        <f>N276</f>
        <v>376.8</v>
      </c>
    </row>
    <row r="276" spans="1:14" x14ac:dyDescent="0.25">
      <c r="A276" s="223"/>
      <c r="B276" s="229"/>
      <c r="C276" s="225"/>
      <c r="D276" s="226"/>
      <c r="E276" s="226">
        <v>376.8</v>
      </c>
      <c r="F276" s="226"/>
      <c r="G276" s="226"/>
      <c r="H276" s="226"/>
      <c r="I276" s="226"/>
      <c r="J276" s="226"/>
      <c r="K276" s="226"/>
      <c r="L276" s="226"/>
      <c r="M276" s="226"/>
      <c r="N276" s="228">
        <f>E276</f>
        <v>376.8</v>
      </c>
    </row>
    <row r="277" spans="1:14" x14ac:dyDescent="0.25">
      <c r="A277" s="223"/>
      <c r="B277" s="229"/>
      <c r="C277" s="225"/>
      <c r="D277" s="226"/>
      <c r="E277" s="226"/>
      <c r="F277" s="226"/>
      <c r="G277" s="226"/>
      <c r="H277" s="226"/>
      <c r="I277" s="226"/>
      <c r="J277" s="226"/>
      <c r="K277" s="226"/>
      <c r="L277" s="226"/>
      <c r="M277" s="226"/>
      <c r="N277" s="230"/>
    </row>
    <row r="278" spans="1:14" x14ac:dyDescent="0.25">
      <c r="A278" s="231" t="s">
        <v>601</v>
      </c>
      <c r="B278" s="224" t="s">
        <v>471</v>
      </c>
      <c r="C278" s="225"/>
      <c r="D278" s="226"/>
      <c r="E278" s="226"/>
      <c r="F278" s="226"/>
      <c r="G278" s="226"/>
      <c r="H278" s="226"/>
      <c r="I278" s="226"/>
      <c r="J278" s="226"/>
      <c r="K278" s="226"/>
      <c r="L278" s="226"/>
      <c r="M278" s="226"/>
      <c r="N278" s="230"/>
    </row>
    <row r="279" spans="1:14" x14ac:dyDescent="0.25">
      <c r="A279" s="223" t="s">
        <v>602</v>
      </c>
      <c r="B279" s="229" t="s">
        <v>48</v>
      </c>
      <c r="C279" s="225" t="s">
        <v>42</v>
      </c>
      <c r="D279" s="226"/>
      <c r="E279" s="226"/>
      <c r="F279" s="226"/>
      <c r="G279" s="226"/>
      <c r="H279" s="226"/>
      <c r="I279" s="226"/>
      <c r="J279" s="226"/>
      <c r="K279" s="226"/>
      <c r="L279" s="226"/>
      <c r="M279" s="226"/>
      <c r="N279" s="230">
        <f>N280</f>
        <v>16.72</v>
      </c>
    </row>
    <row r="280" spans="1:14" x14ac:dyDescent="0.25">
      <c r="A280" s="223"/>
      <c r="B280" s="229"/>
      <c r="C280" s="225"/>
      <c r="D280" s="226"/>
      <c r="E280" s="226">
        <f>DRENAGEM!C17</f>
        <v>16.72</v>
      </c>
      <c r="F280" s="226"/>
      <c r="G280" s="226"/>
      <c r="H280" s="226"/>
      <c r="I280" s="226"/>
      <c r="J280" s="226"/>
      <c r="K280" s="226"/>
      <c r="L280" s="226"/>
      <c r="M280" s="226"/>
      <c r="N280" s="228">
        <f>E280</f>
        <v>16.72</v>
      </c>
    </row>
    <row r="281" spans="1:14" x14ac:dyDescent="0.25">
      <c r="A281" s="223"/>
      <c r="B281" s="229"/>
      <c r="C281" s="225"/>
      <c r="D281" s="226"/>
      <c r="E281" s="226"/>
      <c r="F281" s="226"/>
      <c r="G281" s="226"/>
      <c r="H281" s="226"/>
      <c r="I281" s="226"/>
      <c r="J281" s="226"/>
      <c r="K281" s="226"/>
      <c r="L281" s="226"/>
      <c r="M281" s="226"/>
      <c r="N281" s="230"/>
    </row>
    <row r="282" spans="1:14" ht="102" x14ac:dyDescent="0.25">
      <c r="A282" s="223" t="s">
        <v>603</v>
      </c>
      <c r="B282" s="229" t="s">
        <v>50</v>
      </c>
      <c r="C282" s="225" t="s">
        <v>34</v>
      </c>
      <c r="D282" s="226"/>
      <c r="E282" s="226"/>
      <c r="F282" s="226"/>
      <c r="G282" s="226"/>
      <c r="H282" s="226"/>
      <c r="I282" s="226"/>
      <c r="J282" s="226"/>
      <c r="K282" s="226"/>
      <c r="L282" s="226"/>
      <c r="M282" s="226"/>
      <c r="N282" s="230">
        <f>N283</f>
        <v>37.619999999999997</v>
      </c>
    </row>
    <row r="283" spans="1:14" x14ac:dyDescent="0.25">
      <c r="A283" s="223"/>
      <c r="B283" s="229"/>
      <c r="C283" s="225"/>
      <c r="D283" s="226"/>
      <c r="E283" s="226"/>
      <c r="F283" s="226"/>
      <c r="G283" s="226"/>
      <c r="H283" s="226"/>
      <c r="I283" s="226"/>
      <c r="J283" s="226"/>
      <c r="K283" s="226"/>
      <c r="L283" s="226"/>
      <c r="M283" s="226">
        <f>DRENAGEM!U17</f>
        <v>37.619999999999997</v>
      </c>
      <c r="N283" s="228">
        <f>M283</f>
        <v>37.619999999999997</v>
      </c>
    </row>
    <row r="284" spans="1:14" x14ac:dyDescent="0.25">
      <c r="A284" s="223"/>
      <c r="B284" s="229"/>
      <c r="C284" s="225"/>
      <c r="D284" s="226"/>
      <c r="E284" s="226"/>
      <c r="F284" s="226"/>
      <c r="G284" s="226"/>
      <c r="H284" s="226"/>
      <c r="I284" s="226"/>
      <c r="J284" s="226"/>
      <c r="K284" s="226"/>
      <c r="L284" s="226"/>
      <c r="M284" s="226"/>
      <c r="N284" s="230"/>
    </row>
    <row r="285" spans="1:14" ht="114.75" x14ac:dyDescent="0.25">
      <c r="A285" s="223" t="s">
        <v>604</v>
      </c>
      <c r="B285" s="229" t="s">
        <v>51</v>
      </c>
      <c r="C285" s="225" t="s">
        <v>34</v>
      </c>
      <c r="D285" s="226"/>
      <c r="E285" s="226"/>
      <c r="F285" s="226"/>
      <c r="G285" s="226"/>
      <c r="H285" s="226"/>
      <c r="I285" s="226"/>
      <c r="J285" s="226"/>
      <c r="K285" s="226"/>
      <c r="L285" s="226"/>
      <c r="M285" s="226"/>
      <c r="N285" s="230">
        <f>N286</f>
        <v>4.72</v>
      </c>
    </row>
    <row r="286" spans="1:14" x14ac:dyDescent="0.25">
      <c r="A286" s="223"/>
      <c r="B286" s="229"/>
      <c r="C286" s="225"/>
      <c r="D286" s="226"/>
      <c r="E286" s="226"/>
      <c r="F286" s="226"/>
      <c r="G286" s="226"/>
      <c r="H286" s="226"/>
      <c r="I286" s="226"/>
      <c r="J286" s="226"/>
      <c r="K286" s="226"/>
      <c r="L286" s="226"/>
      <c r="M286" s="226">
        <f>DRENAGEM!V17</f>
        <v>4.72</v>
      </c>
      <c r="N286" s="228">
        <f>M286</f>
        <v>4.72</v>
      </c>
    </row>
    <row r="287" spans="1:14" x14ac:dyDescent="0.25">
      <c r="A287" s="223"/>
      <c r="B287" s="229"/>
      <c r="C287" s="225"/>
      <c r="D287" s="226"/>
      <c r="E287" s="226"/>
      <c r="F287" s="226"/>
      <c r="G287" s="226"/>
      <c r="H287" s="226"/>
      <c r="I287" s="226"/>
      <c r="J287" s="226"/>
      <c r="K287" s="226"/>
      <c r="L287" s="226"/>
      <c r="M287" s="226"/>
      <c r="N287" s="230"/>
    </row>
    <row r="288" spans="1:14" x14ac:dyDescent="0.25">
      <c r="A288" s="223"/>
      <c r="B288" s="229"/>
      <c r="C288" s="225"/>
      <c r="D288" s="226"/>
      <c r="E288" s="226"/>
      <c r="F288" s="226"/>
      <c r="G288" s="226"/>
      <c r="H288" s="226"/>
      <c r="I288" s="226"/>
      <c r="J288" s="226"/>
      <c r="K288" s="226"/>
      <c r="L288" s="226"/>
      <c r="M288" s="226"/>
      <c r="N288" s="230"/>
    </row>
    <row r="289" spans="1:14" ht="89.25" x14ac:dyDescent="0.25">
      <c r="A289" s="223" t="s">
        <v>605</v>
      </c>
      <c r="B289" s="229" t="s">
        <v>266</v>
      </c>
      <c r="C289" s="225" t="s">
        <v>42</v>
      </c>
      <c r="D289" s="226"/>
      <c r="E289" s="226"/>
      <c r="F289" s="226"/>
      <c r="G289" s="226"/>
      <c r="H289" s="226"/>
      <c r="I289" s="226"/>
      <c r="J289" s="226"/>
      <c r="K289" s="226"/>
      <c r="L289" s="226"/>
      <c r="M289" s="226"/>
      <c r="N289" s="230">
        <f>N290</f>
        <v>16.72</v>
      </c>
    </row>
    <row r="290" spans="1:14" x14ac:dyDescent="0.25">
      <c r="A290" s="223"/>
      <c r="B290" s="229"/>
      <c r="C290" s="225"/>
      <c r="D290" s="226"/>
      <c r="E290" s="226">
        <f>DRENAGEM!C17</f>
        <v>16.72</v>
      </c>
      <c r="F290" s="226"/>
      <c r="G290" s="226"/>
      <c r="H290" s="226"/>
      <c r="I290" s="226"/>
      <c r="J290" s="226"/>
      <c r="K290" s="226"/>
      <c r="L290" s="226"/>
      <c r="M290" s="226"/>
      <c r="N290" s="228">
        <f>E290</f>
        <v>16.72</v>
      </c>
    </row>
    <row r="291" spans="1:14" x14ac:dyDescent="0.25">
      <c r="A291" s="223"/>
      <c r="B291" s="229"/>
      <c r="C291" s="225"/>
      <c r="D291" s="226"/>
      <c r="E291" s="226"/>
      <c r="F291" s="226"/>
      <c r="G291" s="226"/>
      <c r="H291" s="226"/>
      <c r="I291" s="226"/>
      <c r="J291" s="226"/>
      <c r="K291" s="226"/>
      <c r="L291" s="226"/>
      <c r="M291" s="226"/>
      <c r="N291" s="230"/>
    </row>
    <row r="292" spans="1:14" ht="63.75" x14ac:dyDescent="0.25">
      <c r="A292" s="223" t="s">
        <v>606</v>
      </c>
      <c r="B292" s="229" t="s">
        <v>53</v>
      </c>
      <c r="C292" s="225" t="s">
        <v>30</v>
      </c>
      <c r="D292" s="226"/>
      <c r="E292" s="226"/>
      <c r="F292" s="226"/>
      <c r="G292" s="226"/>
      <c r="H292" s="226"/>
      <c r="I292" s="226"/>
      <c r="J292" s="226"/>
      <c r="K292" s="226"/>
      <c r="L292" s="226"/>
      <c r="M292" s="226"/>
      <c r="N292" s="230">
        <f>N293</f>
        <v>3.76</v>
      </c>
    </row>
    <row r="293" spans="1:14" x14ac:dyDescent="0.25">
      <c r="A293" s="223"/>
      <c r="B293" s="229"/>
      <c r="C293" s="225"/>
      <c r="D293" s="226"/>
      <c r="E293" s="226"/>
      <c r="F293" s="226"/>
      <c r="G293" s="226"/>
      <c r="H293" s="226"/>
      <c r="I293" s="226"/>
      <c r="J293" s="226"/>
      <c r="K293" s="226"/>
      <c r="L293" s="226"/>
      <c r="M293" s="226">
        <f>DRENAGEM!X17</f>
        <v>3.76</v>
      </c>
      <c r="N293" s="228">
        <f>M293</f>
        <v>3.76</v>
      </c>
    </row>
    <row r="294" spans="1:14" x14ac:dyDescent="0.25">
      <c r="A294" s="223"/>
      <c r="B294" s="229"/>
      <c r="C294" s="225"/>
      <c r="D294" s="226"/>
      <c r="E294" s="226"/>
      <c r="F294" s="226"/>
      <c r="G294" s="226"/>
      <c r="H294" s="226"/>
      <c r="I294" s="226"/>
      <c r="J294" s="226"/>
      <c r="K294" s="226"/>
      <c r="L294" s="226"/>
      <c r="M294" s="226"/>
      <c r="N294" s="230"/>
    </row>
    <row r="295" spans="1:14" ht="38.25" x14ac:dyDescent="0.25">
      <c r="A295" s="223" t="s">
        <v>607</v>
      </c>
      <c r="B295" s="229" t="s">
        <v>271</v>
      </c>
      <c r="C295" s="225" t="s">
        <v>34</v>
      </c>
      <c r="D295" s="226"/>
      <c r="E295" s="226"/>
      <c r="F295" s="226"/>
      <c r="G295" s="226"/>
      <c r="H295" s="226"/>
      <c r="I295" s="226"/>
      <c r="J295" s="226"/>
      <c r="K295" s="226"/>
      <c r="L295" s="226"/>
      <c r="M295" s="226"/>
      <c r="N295" s="230">
        <f>N296</f>
        <v>35.299999999999997</v>
      </c>
    </row>
    <row r="296" spans="1:14" x14ac:dyDescent="0.25">
      <c r="A296" s="223"/>
      <c r="B296" s="229"/>
      <c r="C296" s="225"/>
      <c r="D296" s="226"/>
      <c r="E296" s="226"/>
      <c r="F296" s="226"/>
      <c r="G296" s="226"/>
      <c r="H296" s="226"/>
      <c r="I296" s="226"/>
      <c r="J296" s="226"/>
      <c r="K296" s="226"/>
      <c r="L296" s="226"/>
      <c r="M296" s="226">
        <f>DRENAGEM!W17</f>
        <v>35.299999999999997</v>
      </c>
      <c r="N296" s="228">
        <f>M296</f>
        <v>35.299999999999997</v>
      </c>
    </row>
    <row r="297" spans="1:14" x14ac:dyDescent="0.25">
      <c r="A297" s="223"/>
      <c r="B297" s="229"/>
      <c r="C297" s="225"/>
      <c r="D297" s="226"/>
      <c r="E297" s="226"/>
      <c r="F297" s="226"/>
      <c r="G297" s="226"/>
      <c r="H297" s="226"/>
      <c r="I297" s="226"/>
      <c r="J297" s="226"/>
      <c r="K297" s="226"/>
      <c r="L297" s="226"/>
      <c r="M297" s="226"/>
      <c r="N297" s="230"/>
    </row>
    <row r="298" spans="1:14" ht="76.5" x14ac:dyDescent="0.25">
      <c r="A298" s="223" t="s">
        <v>608</v>
      </c>
      <c r="B298" s="229" t="s">
        <v>45</v>
      </c>
      <c r="C298" s="225" t="s">
        <v>34</v>
      </c>
      <c r="D298" s="226"/>
      <c r="E298" s="226"/>
      <c r="F298" s="226"/>
      <c r="G298" s="226"/>
      <c r="H298" s="226"/>
      <c r="I298" s="226"/>
      <c r="J298" s="226"/>
      <c r="K298" s="226"/>
      <c r="L298" s="226"/>
      <c r="M298" s="226"/>
      <c r="N298" s="230">
        <f>N299</f>
        <v>7.04</v>
      </c>
    </row>
    <row r="299" spans="1:14" x14ac:dyDescent="0.25">
      <c r="A299" s="223"/>
      <c r="B299" s="229"/>
      <c r="C299" s="225"/>
      <c r="D299" s="226"/>
      <c r="E299" s="226"/>
      <c r="F299" s="226"/>
      <c r="G299" s="226"/>
      <c r="H299" s="226"/>
      <c r="I299" s="226"/>
      <c r="J299" s="226"/>
      <c r="K299" s="226"/>
      <c r="L299" s="226"/>
      <c r="M299" s="226">
        <f>DRENAGEM!Y17</f>
        <v>7.04</v>
      </c>
      <c r="N299" s="228">
        <f>M299</f>
        <v>7.04</v>
      </c>
    </row>
    <row r="300" spans="1:14" x14ac:dyDescent="0.25">
      <c r="A300" s="223"/>
      <c r="B300" s="229"/>
      <c r="C300" s="225"/>
      <c r="D300" s="226"/>
      <c r="E300" s="226"/>
      <c r="F300" s="226"/>
      <c r="G300" s="226"/>
      <c r="H300" s="226"/>
      <c r="I300" s="226"/>
      <c r="J300" s="226"/>
      <c r="K300" s="226"/>
      <c r="L300" s="226"/>
      <c r="M300" s="226"/>
      <c r="N300" s="230"/>
    </row>
    <row r="301" spans="1:14" ht="38.25" x14ac:dyDescent="0.25">
      <c r="A301" s="223" t="s">
        <v>609</v>
      </c>
      <c r="B301" s="229" t="s">
        <v>54</v>
      </c>
      <c r="C301" s="225" t="s">
        <v>55</v>
      </c>
      <c r="D301" s="226"/>
      <c r="E301" s="237" t="s">
        <v>281</v>
      </c>
      <c r="F301" s="226"/>
      <c r="G301" s="226"/>
      <c r="H301" s="226"/>
      <c r="I301" s="226"/>
      <c r="J301" s="226"/>
      <c r="K301" s="239" t="s">
        <v>280</v>
      </c>
      <c r="L301" s="226"/>
      <c r="M301" s="226"/>
      <c r="N301" s="230">
        <f>N302</f>
        <v>44</v>
      </c>
    </row>
    <row r="302" spans="1:14" x14ac:dyDescent="0.25">
      <c r="A302" s="223"/>
      <c r="B302" s="229"/>
      <c r="C302" s="225"/>
      <c r="D302" s="226"/>
      <c r="E302" s="226">
        <v>5</v>
      </c>
      <c r="F302" s="226"/>
      <c r="G302" s="226"/>
      <c r="H302" s="226"/>
      <c r="I302" s="226"/>
      <c r="J302" s="226"/>
      <c r="K302" s="238">
        <v>1.25</v>
      </c>
      <c r="L302" s="226"/>
      <c r="M302" s="226">
        <f>M299</f>
        <v>7.04</v>
      </c>
      <c r="N302" s="228">
        <f>E302*K302*M302</f>
        <v>44</v>
      </c>
    </row>
    <row r="303" spans="1:14" x14ac:dyDescent="0.25">
      <c r="A303" s="223"/>
      <c r="B303" s="229"/>
      <c r="C303" s="225"/>
      <c r="D303" s="226"/>
      <c r="E303" s="226"/>
      <c r="F303" s="226"/>
      <c r="G303" s="226"/>
      <c r="H303" s="226"/>
      <c r="I303" s="226"/>
      <c r="J303" s="226"/>
      <c r="K303" s="226"/>
      <c r="L303" s="226"/>
      <c r="M303" s="226"/>
      <c r="N303" s="230"/>
    </row>
    <row r="304" spans="1:14" ht="63.75" x14ac:dyDescent="0.25">
      <c r="A304" s="223" t="s">
        <v>610</v>
      </c>
      <c r="B304" s="229" t="s">
        <v>275</v>
      </c>
      <c r="C304" s="225" t="s">
        <v>30</v>
      </c>
      <c r="D304" s="226"/>
      <c r="E304" s="226"/>
      <c r="F304" s="226"/>
      <c r="G304" s="226"/>
      <c r="H304" s="226"/>
      <c r="I304" s="226"/>
      <c r="J304" s="226"/>
      <c r="K304" s="226"/>
      <c r="L304" s="226"/>
      <c r="M304" s="226"/>
      <c r="N304" s="230">
        <f>N305</f>
        <v>51.43</v>
      </c>
    </row>
    <row r="305" spans="1:14" x14ac:dyDescent="0.25">
      <c r="A305" s="223"/>
      <c r="B305" s="229"/>
      <c r="C305" s="225"/>
      <c r="D305" s="226"/>
      <c r="E305" s="226"/>
      <c r="F305" s="226"/>
      <c r="G305" s="226">
        <f>DRENAGEM!Z17</f>
        <v>51.43</v>
      </c>
      <c r="H305" s="226"/>
      <c r="I305" s="226"/>
      <c r="J305" s="226"/>
      <c r="K305" s="226"/>
      <c r="L305" s="226"/>
      <c r="M305" s="226"/>
      <c r="N305" s="228">
        <f>G305</f>
        <v>51.43</v>
      </c>
    </row>
    <row r="306" spans="1:14" x14ac:dyDescent="0.25">
      <c r="A306" s="223"/>
      <c r="B306" s="229"/>
      <c r="C306" s="225"/>
      <c r="D306" s="226"/>
      <c r="E306" s="226"/>
      <c r="F306" s="226"/>
      <c r="G306" s="226"/>
      <c r="H306" s="226"/>
      <c r="I306" s="226"/>
      <c r="J306" s="226"/>
      <c r="K306" s="226"/>
      <c r="L306" s="226"/>
      <c r="M306" s="226"/>
      <c r="N306" s="230"/>
    </row>
    <row r="307" spans="1:14" ht="63.75" x14ac:dyDescent="0.25">
      <c r="A307" s="223" t="s">
        <v>611</v>
      </c>
      <c r="B307" s="229" t="s">
        <v>58</v>
      </c>
      <c r="C307" s="225" t="s">
        <v>42</v>
      </c>
      <c r="D307" s="226"/>
      <c r="E307" s="226"/>
      <c r="F307" s="226"/>
      <c r="G307" s="226"/>
      <c r="H307" s="226"/>
      <c r="I307" s="226"/>
      <c r="J307" s="226"/>
      <c r="K307" s="226"/>
      <c r="L307" s="226"/>
      <c r="M307" s="226"/>
      <c r="N307" s="230">
        <f>N308</f>
        <v>1.8</v>
      </c>
    </row>
    <row r="308" spans="1:14" x14ac:dyDescent="0.25">
      <c r="A308" s="223"/>
      <c r="B308" s="229"/>
      <c r="C308" s="225"/>
      <c r="D308" s="226"/>
      <c r="E308" s="226"/>
      <c r="F308" s="226">
        <v>0.6</v>
      </c>
      <c r="G308" s="226"/>
      <c r="H308" s="226"/>
      <c r="I308" s="226">
        <v>3</v>
      </c>
      <c r="J308" s="226"/>
      <c r="K308" s="226"/>
      <c r="L308" s="226"/>
      <c r="M308" s="226"/>
      <c r="N308" s="228">
        <f>F308*I308</f>
        <v>1.8</v>
      </c>
    </row>
    <row r="309" spans="1:14" x14ac:dyDescent="0.25">
      <c r="A309" s="223"/>
      <c r="B309" s="229"/>
      <c r="C309" s="225"/>
      <c r="D309" s="226"/>
      <c r="E309" s="226"/>
      <c r="F309" s="226"/>
      <c r="G309" s="226"/>
      <c r="H309" s="226"/>
      <c r="I309" s="226"/>
      <c r="J309" s="226"/>
      <c r="K309" s="226"/>
      <c r="L309" s="226"/>
      <c r="M309" s="226"/>
      <c r="N309" s="230"/>
    </row>
    <row r="310" spans="1:14" ht="63.75" x14ac:dyDescent="0.25">
      <c r="A310" s="223" t="s">
        <v>612</v>
      </c>
      <c r="B310" s="229" t="s">
        <v>273</v>
      </c>
      <c r="C310" s="225" t="s">
        <v>57</v>
      </c>
      <c r="D310" s="226"/>
      <c r="E310" s="226"/>
      <c r="F310" s="226"/>
      <c r="G310" s="226"/>
      <c r="H310" s="226"/>
      <c r="I310" s="226"/>
      <c r="J310" s="226"/>
      <c r="K310" s="226"/>
      <c r="L310" s="226"/>
      <c r="M310" s="226"/>
      <c r="N310" s="230">
        <f>N311</f>
        <v>2</v>
      </c>
    </row>
    <row r="311" spans="1:14" x14ac:dyDescent="0.25">
      <c r="A311" s="223"/>
      <c r="B311" s="229"/>
      <c r="C311" s="225"/>
      <c r="D311" s="226"/>
      <c r="E311" s="226"/>
      <c r="F311" s="226"/>
      <c r="G311" s="226"/>
      <c r="H311" s="226"/>
      <c r="I311" s="226">
        <v>2</v>
      </c>
      <c r="J311" s="226"/>
      <c r="K311" s="226"/>
      <c r="L311" s="226"/>
      <c r="M311" s="226"/>
      <c r="N311" s="228">
        <f>I311</f>
        <v>2</v>
      </c>
    </row>
    <row r="312" spans="1:14" x14ac:dyDescent="0.25">
      <c r="A312" s="223"/>
      <c r="B312" s="229"/>
      <c r="C312" s="225"/>
      <c r="D312" s="226"/>
      <c r="E312" s="226"/>
      <c r="F312" s="226"/>
      <c r="G312" s="226"/>
      <c r="H312" s="226"/>
      <c r="I312" s="226"/>
      <c r="J312" s="226"/>
      <c r="K312" s="226"/>
      <c r="L312" s="226"/>
      <c r="M312" s="226"/>
      <c r="N312" s="230"/>
    </row>
    <row r="313" spans="1:14" ht="63.75" x14ac:dyDescent="0.25">
      <c r="A313" s="223" t="s">
        <v>613</v>
      </c>
      <c r="B313" s="229" t="s">
        <v>445</v>
      </c>
      <c r="C313" s="225" t="s">
        <v>57</v>
      </c>
      <c r="D313" s="226"/>
      <c r="E313" s="226"/>
      <c r="F313" s="226"/>
      <c r="G313" s="226"/>
      <c r="H313" s="226"/>
      <c r="I313" s="226"/>
      <c r="J313" s="226"/>
      <c r="K313" s="226"/>
      <c r="L313" s="226"/>
      <c r="M313" s="226"/>
      <c r="N313" s="230">
        <f>N314</f>
        <v>2</v>
      </c>
    </row>
    <row r="314" spans="1:14" x14ac:dyDescent="0.25">
      <c r="A314" s="223"/>
      <c r="B314" s="229"/>
      <c r="C314" s="225"/>
      <c r="D314" s="226"/>
      <c r="E314" s="226"/>
      <c r="F314" s="226"/>
      <c r="G314" s="226"/>
      <c r="H314" s="226"/>
      <c r="I314" s="226">
        <v>2</v>
      </c>
      <c r="J314" s="226"/>
      <c r="K314" s="226"/>
      <c r="L314" s="226"/>
      <c r="M314" s="226"/>
      <c r="N314" s="228">
        <f>I314</f>
        <v>2</v>
      </c>
    </row>
    <row r="315" spans="1:14" x14ac:dyDescent="0.25">
      <c r="A315" s="223"/>
      <c r="B315" s="229"/>
      <c r="C315" s="225"/>
      <c r="D315" s="226"/>
      <c r="E315" s="226"/>
      <c r="F315" s="226"/>
      <c r="G315" s="226"/>
      <c r="H315" s="226"/>
      <c r="I315" s="226"/>
      <c r="J315" s="226"/>
      <c r="K315" s="226"/>
      <c r="L315" s="226"/>
      <c r="M315" s="226"/>
      <c r="N315" s="230"/>
    </row>
    <row r="316" spans="1:14" ht="51" x14ac:dyDescent="0.25">
      <c r="A316" s="223" t="s">
        <v>614</v>
      </c>
      <c r="B316" s="229" t="s">
        <v>274</v>
      </c>
      <c r="C316" s="225" t="s">
        <v>57</v>
      </c>
      <c r="D316" s="226"/>
      <c r="E316" s="226"/>
      <c r="F316" s="226"/>
      <c r="G316" s="226"/>
      <c r="H316" s="226"/>
      <c r="I316" s="226"/>
      <c r="J316" s="226"/>
      <c r="K316" s="226"/>
      <c r="L316" s="226"/>
      <c r="M316" s="226"/>
      <c r="N316" s="230">
        <f>N317</f>
        <v>2</v>
      </c>
    </row>
    <row r="317" spans="1:14" x14ac:dyDescent="0.25">
      <c r="A317" s="223"/>
      <c r="B317" s="229"/>
      <c r="C317" s="225"/>
      <c r="D317" s="226"/>
      <c r="E317" s="226"/>
      <c r="F317" s="226"/>
      <c r="G317" s="226"/>
      <c r="H317" s="226"/>
      <c r="I317" s="226">
        <v>2</v>
      </c>
      <c r="J317" s="226"/>
      <c r="K317" s="226"/>
      <c r="L317" s="226"/>
      <c r="M317" s="226"/>
      <c r="N317" s="228">
        <f>I317</f>
        <v>2</v>
      </c>
    </row>
    <row r="318" spans="1:14" x14ac:dyDescent="0.25">
      <c r="A318" s="223"/>
      <c r="B318" s="229"/>
      <c r="C318" s="225"/>
      <c r="D318" s="226"/>
      <c r="E318" s="226"/>
      <c r="F318" s="226"/>
      <c r="G318" s="226"/>
      <c r="H318" s="226"/>
      <c r="I318" s="226"/>
      <c r="J318" s="226"/>
      <c r="K318" s="226"/>
      <c r="L318" s="226"/>
      <c r="M318" s="226"/>
      <c r="N318" s="230"/>
    </row>
    <row r="319" spans="1:14" x14ac:dyDescent="0.25">
      <c r="A319" s="232" t="s">
        <v>143</v>
      </c>
      <c r="B319" s="233" t="s">
        <v>453</v>
      </c>
      <c r="C319" s="234"/>
      <c r="D319" s="235"/>
      <c r="E319" s="235"/>
      <c r="F319" s="235"/>
      <c r="G319" s="235"/>
      <c r="H319" s="235"/>
      <c r="I319" s="235"/>
      <c r="J319" s="235"/>
      <c r="K319" s="235"/>
      <c r="L319" s="235"/>
      <c r="M319" s="235"/>
      <c r="N319" s="236"/>
    </row>
    <row r="320" spans="1:14" x14ac:dyDescent="0.25">
      <c r="A320" s="231" t="s">
        <v>144</v>
      </c>
      <c r="B320" s="224" t="s">
        <v>33</v>
      </c>
      <c r="C320" s="225"/>
      <c r="D320" s="226"/>
      <c r="E320" s="226"/>
      <c r="F320" s="226"/>
      <c r="G320" s="226"/>
      <c r="H320" s="226"/>
      <c r="I320" s="226"/>
      <c r="J320" s="226"/>
      <c r="K320" s="226"/>
      <c r="L320" s="226"/>
      <c r="M320" s="226"/>
      <c r="N320" s="230"/>
    </row>
    <row r="321" spans="1:14" ht="51" x14ac:dyDescent="0.25">
      <c r="A321" s="223" t="s">
        <v>145</v>
      </c>
      <c r="B321" s="229" t="s">
        <v>270</v>
      </c>
      <c r="C321" s="225" t="s">
        <v>34</v>
      </c>
      <c r="D321" s="226"/>
      <c r="E321" s="226"/>
      <c r="F321" s="226"/>
      <c r="G321" s="226"/>
      <c r="H321" s="226"/>
      <c r="I321" s="226"/>
      <c r="J321" s="226"/>
      <c r="K321" s="226"/>
      <c r="L321" s="226"/>
      <c r="M321" s="226"/>
      <c r="N321" s="230">
        <f>N322</f>
        <v>241.16</v>
      </c>
    </row>
    <row r="322" spans="1:14" x14ac:dyDescent="0.25">
      <c r="A322" s="223"/>
      <c r="B322" s="224" t="s">
        <v>279</v>
      </c>
      <c r="C322" s="225"/>
      <c r="D322" s="226"/>
      <c r="E322" s="226"/>
      <c r="F322" s="226"/>
      <c r="G322" s="226"/>
      <c r="H322" s="226"/>
      <c r="I322" s="226"/>
      <c r="J322" s="226"/>
      <c r="K322" s="226"/>
      <c r="L322" s="226"/>
      <c r="M322" s="226">
        <f>'MAPA DE CUBAÇÃO'!I87</f>
        <v>241.16</v>
      </c>
      <c r="N322" s="228">
        <f>M322</f>
        <v>241.16</v>
      </c>
    </row>
    <row r="323" spans="1:14" x14ac:dyDescent="0.25">
      <c r="A323" s="223"/>
      <c r="B323" s="229"/>
      <c r="C323" s="225"/>
      <c r="D323" s="226"/>
      <c r="E323" s="226"/>
      <c r="F323" s="226"/>
      <c r="G323" s="226"/>
      <c r="H323" s="226"/>
      <c r="I323" s="226"/>
      <c r="J323" s="226"/>
      <c r="K323" s="226"/>
      <c r="L323" s="226"/>
      <c r="M323" s="226"/>
      <c r="N323" s="230"/>
    </row>
    <row r="324" spans="1:14" ht="76.5" x14ac:dyDescent="0.25">
      <c r="A324" s="223" t="s">
        <v>146</v>
      </c>
      <c r="B324" s="229" t="s">
        <v>45</v>
      </c>
      <c r="C324" s="225" t="s">
        <v>34</v>
      </c>
      <c r="D324" s="226"/>
      <c r="E324" s="226"/>
      <c r="F324" s="226"/>
      <c r="G324" s="226"/>
      <c r="H324" s="226"/>
      <c r="I324" s="226"/>
      <c r="J324" s="226"/>
      <c r="K324" s="239" t="s">
        <v>280</v>
      </c>
      <c r="L324" s="226"/>
      <c r="M324" s="226"/>
      <c r="N324" s="230">
        <f>N325</f>
        <v>301.45</v>
      </c>
    </row>
    <row r="325" spans="1:14" x14ac:dyDescent="0.25">
      <c r="A325" s="223"/>
      <c r="B325" s="224" t="s">
        <v>279</v>
      </c>
      <c r="C325" s="225"/>
      <c r="D325" s="226"/>
      <c r="E325" s="226"/>
      <c r="F325" s="226"/>
      <c r="G325" s="226"/>
      <c r="H325" s="226"/>
      <c r="I325" s="226"/>
      <c r="J325" s="226"/>
      <c r="K325" s="238">
        <v>1.25</v>
      </c>
      <c r="L325" s="226"/>
      <c r="M325" s="226">
        <f>N322</f>
        <v>241.16</v>
      </c>
      <c r="N325" s="228">
        <f>K325*M325</f>
        <v>301.45</v>
      </c>
    </row>
    <row r="326" spans="1:14" x14ac:dyDescent="0.25">
      <c r="A326" s="223"/>
      <c r="B326" s="229"/>
      <c r="C326" s="225"/>
      <c r="D326" s="226"/>
      <c r="E326" s="226"/>
      <c r="F326" s="226"/>
      <c r="G326" s="226"/>
      <c r="H326" s="226"/>
      <c r="I326" s="226"/>
      <c r="J326" s="226"/>
      <c r="K326" s="226"/>
      <c r="L326" s="226"/>
      <c r="M326" s="226"/>
      <c r="N326" s="230"/>
    </row>
    <row r="327" spans="1:14" ht="63.75" x14ac:dyDescent="0.25">
      <c r="A327" s="223" t="s">
        <v>147</v>
      </c>
      <c r="B327" s="229" t="s">
        <v>35</v>
      </c>
      <c r="C327" s="225" t="s">
        <v>36</v>
      </c>
      <c r="D327" s="226"/>
      <c r="E327" s="237" t="s">
        <v>281</v>
      </c>
      <c r="F327" s="226"/>
      <c r="G327" s="226"/>
      <c r="H327" s="226"/>
      <c r="I327" s="226"/>
      <c r="J327" s="226"/>
      <c r="K327" s="315"/>
      <c r="L327" s="226"/>
      <c r="M327" s="226"/>
      <c r="N327" s="230">
        <f>N328</f>
        <v>1507.25</v>
      </c>
    </row>
    <row r="328" spans="1:14" x14ac:dyDescent="0.25">
      <c r="A328" s="223"/>
      <c r="B328" s="224" t="s">
        <v>279</v>
      </c>
      <c r="C328" s="225"/>
      <c r="D328" s="226"/>
      <c r="E328" s="226">
        <v>5</v>
      </c>
      <c r="F328" s="226"/>
      <c r="G328" s="226"/>
      <c r="H328" s="226"/>
      <c r="I328" s="226"/>
      <c r="J328" s="226"/>
      <c r="K328" s="316"/>
      <c r="L328" s="226"/>
      <c r="M328" s="226">
        <f>N325</f>
        <v>301.45</v>
      </c>
      <c r="N328" s="228">
        <f>M328*E328</f>
        <v>1507.25</v>
      </c>
    </row>
    <row r="329" spans="1:14" x14ac:dyDescent="0.25">
      <c r="A329" s="223"/>
      <c r="B329" s="229"/>
      <c r="C329" s="225"/>
      <c r="D329" s="226"/>
      <c r="E329" s="226"/>
      <c r="F329" s="226"/>
      <c r="G329" s="226"/>
      <c r="H329" s="226"/>
      <c r="I329" s="226"/>
      <c r="J329" s="226"/>
      <c r="K329" s="226"/>
      <c r="L329" s="226"/>
      <c r="M329" s="226"/>
      <c r="N329" s="230"/>
    </row>
    <row r="330" spans="1:14" x14ac:dyDescent="0.25">
      <c r="A330" s="231" t="s">
        <v>148</v>
      </c>
      <c r="B330" s="224" t="s">
        <v>40</v>
      </c>
      <c r="C330" s="225"/>
      <c r="D330" s="226"/>
      <c r="E330" s="226"/>
      <c r="F330" s="226"/>
      <c r="G330" s="226"/>
      <c r="H330" s="226"/>
      <c r="I330" s="226"/>
      <c r="J330" s="226"/>
      <c r="K330" s="226"/>
      <c r="L330" s="226"/>
      <c r="M330" s="226"/>
      <c r="N330" s="230"/>
    </row>
    <row r="331" spans="1:14" ht="25.5" x14ac:dyDescent="0.25">
      <c r="A331" s="223" t="s">
        <v>149</v>
      </c>
      <c r="B331" s="229" t="s">
        <v>41</v>
      </c>
      <c r="C331" s="225" t="s">
        <v>42</v>
      </c>
      <c r="D331" s="226"/>
      <c r="E331" s="226"/>
      <c r="F331" s="226"/>
      <c r="G331" s="226"/>
      <c r="H331" s="226"/>
      <c r="I331" s="226"/>
      <c r="J331" s="226"/>
      <c r="K331" s="226"/>
      <c r="L331" s="226"/>
      <c r="M331" s="226"/>
      <c r="N331" s="230">
        <f>N332</f>
        <v>344.52</v>
      </c>
    </row>
    <row r="332" spans="1:14" x14ac:dyDescent="0.25">
      <c r="A332" s="223"/>
      <c r="B332" s="229"/>
      <c r="C332" s="225"/>
      <c r="D332" s="226"/>
      <c r="E332" s="226">
        <f>'MAPA DE CUBAÇÃO'!H107</f>
        <v>344.52</v>
      </c>
      <c r="F332" s="226"/>
      <c r="G332" s="226"/>
      <c r="H332" s="226"/>
      <c r="I332" s="226"/>
      <c r="J332" s="226"/>
      <c r="K332" s="226"/>
      <c r="L332" s="226"/>
      <c r="M332" s="226"/>
      <c r="N332" s="228">
        <f>E332</f>
        <v>344.52</v>
      </c>
    </row>
    <row r="333" spans="1:14" ht="51" x14ac:dyDescent="0.25">
      <c r="A333" s="223" t="s">
        <v>150</v>
      </c>
      <c r="B333" s="229" t="s">
        <v>38</v>
      </c>
      <c r="C333" s="225" t="s">
        <v>30</v>
      </c>
      <c r="D333" s="226"/>
      <c r="E333" s="226"/>
      <c r="F333" s="226"/>
      <c r="G333" s="226"/>
      <c r="H333" s="226"/>
      <c r="I333" s="226"/>
      <c r="J333" s="226"/>
      <c r="K333" s="226"/>
      <c r="L333" s="226"/>
      <c r="M333" s="226"/>
      <c r="N333" s="230">
        <f>N334</f>
        <v>1746.94</v>
      </c>
    </row>
    <row r="334" spans="1:14" x14ac:dyDescent="0.25">
      <c r="A334" s="223"/>
      <c r="B334" s="229"/>
      <c r="C334" s="225"/>
      <c r="D334" s="226"/>
      <c r="E334" s="226"/>
      <c r="F334" s="226"/>
      <c r="G334" s="226">
        <f>808.12+730.48+208.34</f>
        <v>1746.94</v>
      </c>
      <c r="H334" s="226"/>
      <c r="I334" s="226"/>
      <c r="J334" s="226"/>
      <c r="K334" s="226"/>
      <c r="L334" s="226"/>
      <c r="M334" s="226"/>
      <c r="N334" s="228">
        <f>G334</f>
        <v>1746.94</v>
      </c>
    </row>
    <row r="335" spans="1:14" x14ac:dyDescent="0.25">
      <c r="A335" s="223"/>
      <c r="B335" s="229"/>
      <c r="C335" s="225"/>
      <c r="D335" s="226"/>
      <c r="E335" s="226"/>
      <c r="F335" s="226"/>
      <c r="G335" s="226"/>
      <c r="H335" s="226"/>
      <c r="I335" s="226"/>
      <c r="J335" s="226"/>
      <c r="K335" s="226"/>
      <c r="L335" s="226"/>
      <c r="M335" s="226"/>
      <c r="N335" s="230"/>
    </row>
    <row r="336" spans="1:14" ht="76.5" x14ac:dyDescent="0.25">
      <c r="A336" s="223" t="s">
        <v>151</v>
      </c>
      <c r="B336" s="229" t="s">
        <v>44</v>
      </c>
      <c r="C336" s="225" t="s">
        <v>30</v>
      </c>
      <c r="D336" s="226"/>
      <c r="E336" s="226"/>
      <c r="F336" s="226"/>
      <c r="G336" s="226"/>
      <c r="H336" s="226"/>
      <c r="I336" s="226"/>
      <c r="J336" s="226"/>
      <c r="K336" s="226"/>
      <c r="L336" s="226"/>
      <c r="M336" s="226"/>
      <c r="N336" s="230">
        <f>N337</f>
        <v>1746.94</v>
      </c>
    </row>
    <row r="337" spans="1:14" x14ac:dyDescent="0.25">
      <c r="A337" s="223"/>
      <c r="B337" s="229"/>
      <c r="C337" s="225"/>
      <c r="D337" s="226"/>
      <c r="E337" s="226"/>
      <c r="F337" s="226"/>
      <c r="G337" s="226">
        <f>G334</f>
        <v>1746.94</v>
      </c>
      <c r="H337" s="226"/>
      <c r="I337" s="226"/>
      <c r="J337" s="226"/>
      <c r="K337" s="226"/>
      <c r="L337" s="226"/>
      <c r="M337" s="226"/>
      <c r="N337" s="228">
        <f>G337</f>
        <v>1746.94</v>
      </c>
    </row>
    <row r="338" spans="1:14" x14ac:dyDescent="0.25">
      <c r="A338" s="223"/>
      <c r="B338" s="229"/>
      <c r="C338" s="225"/>
      <c r="D338" s="226"/>
      <c r="E338" s="226"/>
      <c r="F338" s="226"/>
      <c r="G338" s="226"/>
      <c r="H338" s="226"/>
      <c r="I338" s="226"/>
      <c r="J338" s="226"/>
      <c r="K338" s="226"/>
      <c r="L338" s="226"/>
      <c r="M338" s="226"/>
      <c r="N338" s="230"/>
    </row>
    <row r="339" spans="1:14" ht="102" x14ac:dyDescent="0.25">
      <c r="A339" s="223" t="s">
        <v>152</v>
      </c>
      <c r="B339" s="229" t="s">
        <v>49</v>
      </c>
      <c r="C339" s="225" t="s">
        <v>42</v>
      </c>
      <c r="D339" s="226"/>
      <c r="E339" s="226"/>
      <c r="F339" s="226"/>
      <c r="G339" s="226"/>
      <c r="H339" s="226"/>
      <c r="I339" s="226"/>
      <c r="J339" s="226"/>
      <c r="K339" s="226"/>
      <c r="L339" s="226"/>
      <c r="M339" s="226"/>
      <c r="N339" s="230">
        <f>N340</f>
        <v>681.72</v>
      </c>
    </row>
    <row r="340" spans="1:14" x14ac:dyDescent="0.25">
      <c r="A340" s="223"/>
      <c r="B340" s="229"/>
      <c r="C340" s="225"/>
      <c r="D340" s="226"/>
      <c r="E340" s="226"/>
      <c r="F340" s="226"/>
      <c r="G340" s="226">
        <f>SUM(250.68+222.7+208.34)</f>
        <v>681.72</v>
      </c>
      <c r="H340" s="226"/>
      <c r="I340" s="226"/>
      <c r="J340" s="226"/>
      <c r="K340" s="226"/>
      <c r="L340" s="226"/>
      <c r="M340" s="226"/>
      <c r="N340" s="228">
        <f>G340</f>
        <v>681.72</v>
      </c>
    </row>
    <row r="341" spans="1:14" x14ac:dyDescent="0.25">
      <c r="A341" s="223"/>
      <c r="B341" s="229"/>
      <c r="C341" s="225"/>
      <c r="D341" s="226"/>
      <c r="E341" s="226"/>
      <c r="F341" s="226"/>
      <c r="G341" s="226"/>
      <c r="H341" s="226"/>
      <c r="I341" s="226"/>
      <c r="J341" s="226"/>
      <c r="K341" s="226"/>
      <c r="L341" s="226"/>
      <c r="M341" s="226"/>
      <c r="N341" s="230"/>
    </row>
    <row r="342" spans="1:14" x14ac:dyDescent="0.25">
      <c r="A342" s="232" t="s">
        <v>153</v>
      </c>
      <c r="B342" s="233" t="s">
        <v>454</v>
      </c>
      <c r="C342" s="246"/>
      <c r="D342" s="247"/>
      <c r="E342" s="247"/>
      <c r="F342" s="247"/>
      <c r="G342" s="247"/>
      <c r="H342" s="247"/>
      <c r="I342" s="247"/>
      <c r="J342" s="247"/>
      <c r="K342" s="247"/>
      <c r="L342" s="247"/>
      <c r="M342" s="247"/>
      <c r="N342" s="236"/>
    </row>
    <row r="343" spans="1:14" x14ac:dyDescent="0.25">
      <c r="A343" s="231" t="s">
        <v>154</v>
      </c>
      <c r="B343" s="224" t="s">
        <v>33</v>
      </c>
      <c r="C343" s="225"/>
      <c r="D343" s="226"/>
      <c r="E343" s="226"/>
      <c r="F343" s="226"/>
      <c r="G343" s="226"/>
      <c r="H343" s="226"/>
      <c r="I343" s="226"/>
      <c r="J343" s="226"/>
      <c r="K343" s="226"/>
      <c r="L343" s="226"/>
      <c r="M343" s="226"/>
      <c r="N343" s="230"/>
    </row>
    <row r="344" spans="1:14" ht="51" x14ac:dyDescent="0.25">
      <c r="A344" s="223" t="s">
        <v>155</v>
      </c>
      <c r="B344" s="229" t="s">
        <v>270</v>
      </c>
      <c r="C344" s="225" t="s">
        <v>34</v>
      </c>
      <c r="D344" s="226"/>
      <c r="E344" s="226"/>
      <c r="F344" s="226"/>
      <c r="G344" s="226"/>
      <c r="H344" s="226"/>
      <c r="I344" s="226"/>
      <c r="J344" s="226"/>
      <c r="K344" s="226"/>
      <c r="L344" s="226"/>
      <c r="M344" s="226"/>
      <c r="N344" s="230">
        <f>N345</f>
        <v>71.459999999999994</v>
      </c>
    </row>
    <row r="345" spans="1:14" x14ac:dyDescent="0.25">
      <c r="A345" s="223"/>
      <c r="B345" s="224" t="s">
        <v>279</v>
      </c>
      <c r="C345" s="225"/>
      <c r="D345" s="226"/>
      <c r="E345" s="226"/>
      <c r="F345" s="226"/>
      <c r="G345" s="226"/>
      <c r="H345" s="226"/>
      <c r="I345" s="226"/>
      <c r="J345" s="226"/>
      <c r="K345" s="226"/>
      <c r="L345" s="226"/>
      <c r="M345" s="226">
        <f>'MAPA DE CUBAÇÃO'!I108</f>
        <v>71.459999999999994</v>
      </c>
      <c r="N345" s="228">
        <f>M345</f>
        <v>71.459999999999994</v>
      </c>
    </row>
    <row r="346" spans="1:14" x14ac:dyDescent="0.25">
      <c r="A346" s="223"/>
      <c r="B346" s="229"/>
      <c r="C346" s="225"/>
      <c r="D346" s="226"/>
      <c r="E346" s="226"/>
      <c r="F346" s="226"/>
      <c r="G346" s="226"/>
      <c r="H346" s="226"/>
      <c r="I346" s="226"/>
      <c r="J346" s="226"/>
      <c r="K346" s="226"/>
      <c r="L346" s="226"/>
      <c r="M346" s="226"/>
      <c r="N346" s="230"/>
    </row>
    <row r="347" spans="1:14" ht="76.5" x14ac:dyDescent="0.25">
      <c r="A347" s="223" t="s">
        <v>156</v>
      </c>
      <c r="B347" s="229" t="s">
        <v>45</v>
      </c>
      <c r="C347" s="225" t="s">
        <v>34</v>
      </c>
      <c r="D347" s="226"/>
      <c r="E347" s="226"/>
      <c r="F347" s="226"/>
      <c r="G347" s="226"/>
      <c r="H347" s="226"/>
      <c r="I347" s="226"/>
      <c r="J347" s="226"/>
      <c r="K347" s="239" t="s">
        <v>280</v>
      </c>
      <c r="L347" s="226"/>
      <c r="M347" s="226"/>
      <c r="N347" s="230">
        <f>N348</f>
        <v>89.33</v>
      </c>
    </row>
    <row r="348" spans="1:14" x14ac:dyDescent="0.25">
      <c r="A348" s="223"/>
      <c r="B348" s="224" t="s">
        <v>279</v>
      </c>
      <c r="C348" s="225"/>
      <c r="D348" s="226"/>
      <c r="E348" s="226"/>
      <c r="F348" s="226"/>
      <c r="G348" s="226"/>
      <c r="H348" s="226"/>
      <c r="I348" s="226"/>
      <c r="J348" s="226"/>
      <c r="K348" s="238">
        <v>1.25</v>
      </c>
      <c r="L348" s="226"/>
      <c r="M348" s="226">
        <f>N345</f>
        <v>71.459999999999994</v>
      </c>
      <c r="N348" s="228">
        <f>K348*M348</f>
        <v>89.33</v>
      </c>
    </row>
    <row r="349" spans="1:14" x14ac:dyDescent="0.25">
      <c r="A349" s="223"/>
      <c r="B349" s="229"/>
      <c r="C349" s="225"/>
      <c r="D349" s="226"/>
      <c r="E349" s="226"/>
      <c r="F349" s="226"/>
      <c r="G349" s="226"/>
      <c r="H349" s="226"/>
      <c r="I349" s="226"/>
      <c r="J349" s="226"/>
      <c r="K349" s="226"/>
      <c r="L349" s="226"/>
      <c r="M349" s="226"/>
      <c r="N349" s="230"/>
    </row>
    <row r="350" spans="1:14" ht="63.75" x14ac:dyDescent="0.25">
      <c r="A350" s="223" t="s">
        <v>157</v>
      </c>
      <c r="B350" s="229" t="s">
        <v>35</v>
      </c>
      <c r="C350" s="225" t="s">
        <v>36</v>
      </c>
      <c r="D350" s="226"/>
      <c r="E350" s="237" t="s">
        <v>281</v>
      </c>
      <c r="F350" s="226"/>
      <c r="G350" s="226"/>
      <c r="H350" s="226"/>
      <c r="I350" s="226"/>
      <c r="J350" s="226"/>
      <c r="K350" s="315"/>
      <c r="L350" s="226"/>
      <c r="M350" s="226"/>
      <c r="N350" s="230">
        <f>N351</f>
        <v>446.65</v>
      </c>
    </row>
    <row r="351" spans="1:14" x14ac:dyDescent="0.25">
      <c r="A351" s="223"/>
      <c r="B351" s="224" t="s">
        <v>279</v>
      </c>
      <c r="C351" s="225"/>
      <c r="D351" s="226"/>
      <c r="E351" s="226">
        <v>5</v>
      </c>
      <c r="F351" s="226"/>
      <c r="G351" s="226"/>
      <c r="H351" s="226"/>
      <c r="I351" s="226"/>
      <c r="J351" s="226"/>
      <c r="K351" s="316"/>
      <c r="L351" s="226"/>
      <c r="M351" s="226">
        <f>N348</f>
        <v>89.33</v>
      </c>
      <c r="N351" s="228">
        <f>M351*E351</f>
        <v>446.65</v>
      </c>
    </row>
    <row r="352" spans="1:14" x14ac:dyDescent="0.25">
      <c r="A352" s="223"/>
      <c r="B352" s="229"/>
      <c r="C352" s="225"/>
      <c r="D352" s="226"/>
      <c r="E352" s="226"/>
      <c r="F352" s="226"/>
      <c r="G352" s="226"/>
      <c r="H352" s="226"/>
      <c r="I352" s="226"/>
      <c r="J352" s="226"/>
      <c r="K352" s="226"/>
      <c r="L352" s="226"/>
      <c r="M352" s="226"/>
      <c r="N352" s="230"/>
    </row>
    <row r="353" spans="1:14" x14ac:dyDescent="0.25">
      <c r="A353" s="231" t="s">
        <v>159</v>
      </c>
      <c r="B353" s="224" t="s">
        <v>40</v>
      </c>
      <c r="C353" s="225"/>
      <c r="D353" s="226"/>
      <c r="E353" s="226"/>
      <c r="F353" s="226"/>
      <c r="G353" s="226"/>
      <c r="H353" s="226"/>
      <c r="I353" s="226"/>
      <c r="J353" s="226"/>
      <c r="K353" s="226"/>
      <c r="L353" s="226"/>
      <c r="M353" s="226"/>
      <c r="N353" s="230"/>
    </row>
    <row r="354" spans="1:14" ht="25.5" x14ac:dyDescent="0.25">
      <c r="A354" s="223" t="s">
        <v>160</v>
      </c>
      <c r="B354" s="229" t="s">
        <v>41</v>
      </c>
      <c r="C354" s="225" t="s">
        <v>42</v>
      </c>
      <c r="D354" s="226"/>
      <c r="E354" s="226"/>
      <c r="F354" s="226"/>
      <c r="G354" s="226"/>
      <c r="H354" s="226"/>
      <c r="I354" s="226"/>
      <c r="J354" s="226"/>
      <c r="K354" s="226"/>
      <c r="L354" s="226"/>
      <c r="M354" s="226"/>
      <c r="N354" s="230">
        <f>N355</f>
        <v>102.08</v>
      </c>
    </row>
    <row r="355" spans="1:14" x14ac:dyDescent="0.25">
      <c r="A355" s="223"/>
      <c r="B355" s="229"/>
      <c r="C355" s="225"/>
      <c r="D355" s="226"/>
      <c r="E355" s="226">
        <f>'MAPA DE CUBAÇÃO'!H116</f>
        <v>102.08</v>
      </c>
      <c r="F355" s="226"/>
      <c r="G355" s="226"/>
      <c r="H355" s="226"/>
      <c r="I355" s="226"/>
      <c r="J355" s="226"/>
      <c r="K355" s="226"/>
      <c r="L355" s="226"/>
      <c r="M355" s="226"/>
      <c r="N355" s="228">
        <f>E355</f>
        <v>102.08</v>
      </c>
    </row>
    <row r="356" spans="1:14" x14ac:dyDescent="0.25">
      <c r="A356" s="223"/>
      <c r="B356" s="229"/>
      <c r="C356" s="225"/>
      <c r="D356" s="226"/>
      <c r="E356" s="226"/>
      <c r="F356" s="226"/>
      <c r="G356" s="226"/>
      <c r="H356" s="226"/>
      <c r="I356" s="226"/>
      <c r="J356" s="226"/>
      <c r="K356" s="226"/>
      <c r="L356" s="226"/>
      <c r="M356" s="226"/>
      <c r="N356" s="228"/>
    </row>
    <row r="357" spans="1:14" ht="51" x14ac:dyDescent="0.25">
      <c r="A357" s="223" t="s">
        <v>161</v>
      </c>
      <c r="B357" s="229" t="s">
        <v>38</v>
      </c>
      <c r="C357" s="225" t="s">
        <v>30</v>
      </c>
      <c r="D357" s="226"/>
      <c r="E357" s="226"/>
      <c r="F357" s="226"/>
      <c r="G357" s="226"/>
      <c r="H357" s="226"/>
      <c r="I357" s="226"/>
      <c r="J357" s="226"/>
      <c r="K357" s="226"/>
      <c r="L357" s="226"/>
      <c r="M357" s="226"/>
      <c r="N357" s="230">
        <f>N358</f>
        <v>693.32</v>
      </c>
    </row>
    <row r="358" spans="1:14" x14ac:dyDescent="0.25">
      <c r="A358" s="223"/>
      <c r="B358" s="229"/>
      <c r="C358" s="225"/>
      <c r="D358" s="226"/>
      <c r="E358" s="226"/>
      <c r="F358" s="226"/>
      <c r="G358" s="226">
        <v>693.32</v>
      </c>
      <c r="H358" s="226"/>
      <c r="I358" s="226"/>
      <c r="J358" s="226"/>
      <c r="K358" s="226"/>
      <c r="L358" s="226"/>
      <c r="M358" s="226"/>
      <c r="N358" s="228">
        <f>G358</f>
        <v>693.32</v>
      </c>
    </row>
    <row r="359" spans="1:14" x14ac:dyDescent="0.25">
      <c r="A359" s="223"/>
      <c r="B359" s="229"/>
      <c r="C359" s="225"/>
      <c r="D359" s="226"/>
      <c r="E359" s="226"/>
      <c r="F359" s="226"/>
      <c r="G359" s="226"/>
      <c r="H359" s="226"/>
      <c r="I359" s="226"/>
      <c r="J359" s="226"/>
      <c r="K359" s="226"/>
      <c r="L359" s="226"/>
      <c r="M359" s="226"/>
      <c r="N359" s="230"/>
    </row>
    <row r="360" spans="1:14" ht="76.5" x14ac:dyDescent="0.25">
      <c r="A360" s="223" t="s">
        <v>162</v>
      </c>
      <c r="B360" s="229" t="s">
        <v>44</v>
      </c>
      <c r="C360" s="225" t="s">
        <v>30</v>
      </c>
      <c r="D360" s="226"/>
      <c r="E360" s="226"/>
      <c r="F360" s="226"/>
      <c r="G360" s="226"/>
      <c r="H360" s="226"/>
      <c r="I360" s="226"/>
      <c r="J360" s="226"/>
      <c r="K360" s="226"/>
      <c r="L360" s="226"/>
      <c r="M360" s="226"/>
      <c r="N360" s="230">
        <f>N361</f>
        <v>693.32</v>
      </c>
    </row>
    <row r="361" spans="1:14" x14ac:dyDescent="0.25">
      <c r="A361" s="223"/>
      <c r="B361" s="229"/>
      <c r="C361" s="225"/>
      <c r="D361" s="226"/>
      <c r="E361" s="226"/>
      <c r="F361" s="226"/>
      <c r="G361" s="226">
        <v>693.32</v>
      </c>
      <c r="H361" s="226"/>
      <c r="I361" s="226"/>
      <c r="J361" s="226"/>
      <c r="K361" s="226"/>
      <c r="L361" s="226"/>
      <c r="M361" s="226"/>
      <c r="N361" s="228">
        <f>G361</f>
        <v>693.32</v>
      </c>
    </row>
    <row r="362" spans="1:14" x14ac:dyDescent="0.25">
      <c r="A362" s="223"/>
      <c r="B362" s="229"/>
      <c r="C362" s="225"/>
      <c r="D362" s="226"/>
      <c r="E362" s="226"/>
      <c r="F362" s="226"/>
      <c r="G362" s="226"/>
      <c r="H362" s="226"/>
      <c r="I362" s="226"/>
      <c r="J362" s="226"/>
      <c r="K362" s="226"/>
      <c r="L362" s="226"/>
      <c r="M362" s="226"/>
      <c r="N362" s="230"/>
    </row>
    <row r="363" spans="1:14" ht="102" x14ac:dyDescent="0.25">
      <c r="A363" s="223" t="s">
        <v>163</v>
      </c>
      <c r="B363" s="229" t="s">
        <v>49</v>
      </c>
      <c r="C363" s="225" t="s">
        <v>42</v>
      </c>
      <c r="D363" s="226"/>
      <c r="E363" s="226"/>
      <c r="F363" s="226"/>
      <c r="G363" s="226"/>
      <c r="H363" s="226"/>
      <c r="I363" s="226"/>
      <c r="J363" s="226"/>
      <c r="K363" s="226"/>
      <c r="L363" s="226"/>
      <c r="M363" s="226"/>
      <c r="N363" s="230">
        <f>N364</f>
        <v>222.96</v>
      </c>
    </row>
    <row r="364" spans="1:14" x14ac:dyDescent="0.25">
      <c r="A364" s="223"/>
      <c r="B364" s="229"/>
      <c r="C364" s="225"/>
      <c r="D364" s="226"/>
      <c r="E364" s="226">
        <v>222.96</v>
      </c>
      <c r="F364" s="226"/>
      <c r="G364" s="226"/>
      <c r="H364" s="226"/>
      <c r="I364" s="226"/>
      <c r="J364" s="226"/>
      <c r="K364" s="226"/>
      <c r="L364" s="226"/>
      <c r="M364" s="226"/>
      <c r="N364" s="228">
        <f>E364</f>
        <v>222.96</v>
      </c>
    </row>
    <row r="365" spans="1:14" x14ac:dyDescent="0.25">
      <c r="A365" s="223"/>
      <c r="B365" s="229"/>
      <c r="C365" s="225"/>
      <c r="D365" s="226"/>
      <c r="E365" s="226"/>
      <c r="F365" s="226"/>
      <c r="G365" s="226"/>
      <c r="H365" s="226"/>
      <c r="I365" s="226"/>
      <c r="J365" s="226"/>
      <c r="K365" s="226"/>
      <c r="L365" s="226"/>
      <c r="M365" s="226"/>
      <c r="N365" s="230"/>
    </row>
    <row r="366" spans="1:14" x14ac:dyDescent="0.25">
      <c r="A366" s="232" t="s">
        <v>164</v>
      </c>
      <c r="B366" s="233" t="s">
        <v>455</v>
      </c>
      <c r="C366" s="234"/>
      <c r="D366" s="235"/>
      <c r="E366" s="235"/>
      <c r="F366" s="235"/>
      <c r="G366" s="235"/>
      <c r="H366" s="235"/>
      <c r="I366" s="235"/>
      <c r="J366" s="235"/>
      <c r="K366" s="235"/>
      <c r="L366" s="235"/>
      <c r="M366" s="235"/>
      <c r="N366" s="236"/>
    </row>
    <row r="367" spans="1:14" x14ac:dyDescent="0.25">
      <c r="A367" s="231" t="s">
        <v>165</v>
      </c>
      <c r="B367" s="224" t="s">
        <v>33</v>
      </c>
      <c r="C367" s="225"/>
      <c r="D367" s="226"/>
      <c r="E367" s="226"/>
      <c r="F367" s="226"/>
      <c r="G367" s="226"/>
      <c r="H367" s="226"/>
      <c r="I367" s="226"/>
      <c r="J367" s="226"/>
      <c r="K367" s="226"/>
      <c r="L367" s="226"/>
      <c r="M367" s="226"/>
      <c r="N367" s="230"/>
    </row>
    <row r="368" spans="1:14" ht="51" x14ac:dyDescent="0.25">
      <c r="A368" s="223" t="s">
        <v>166</v>
      </c>
      <c r="B368" s="229" t="s">
        <v>270</v>
      </c>
      <c r="C368" s="225" t="s">
        <v>34</v>
      </c>
      <c r="D368" s="226"/>
      <c r="E368" s="226"/>
      <c r="F368" s="226"/>
      <c r="G368" s="226"/>
      <c r="H368" s="226"/>
      <c r="I368" s="226"/>
      <c r="J368" s="226"/>
      <c r="K368" s="226"/>
      <c r="L368" s="226"/>
      <c r="M368" s="226"/>
      <c r="N368" s="230">
        <f>N369</f>
        <v>160.35</v>
      </c>
    </row>
    <row r="369" spans="1:14" x14ac:dyDescent="0.25">
      <c r="A369" s="223"/>
      <c r="B369" s="224" t="s">
        <v>279</v>
      </c>
      <c r="C369" s="225"/>
      <c r="D369" s="226"/>
      <c r="E369" s="226"/>
      <c r="F369" s="226"/>
      <c r="G369" s="226"/>
      <c r="H369" s="226"/>
      <c r="I369" s="226"/>
      <c r="J369" s="226"/>
      <c r="K369" s="226"/>
      <c r="L369" s="226"/>
      <c r="M369" s="226">
        <f>'MAPA DE CUBAÇÃO'!I117</f>
        <v>160.35</v>
      </c>
      <c r="N369" s="228">
        <f>M369</f>
        <v>160.35</v>
      </c>
    </row>
    <row r="370" spans="1:14" x14ac:dyDescent="0.25">
      <c r="A370" s="223"/>
      <c r="B370" s="229"/>
      <c r="C370" s="225"/>
      <c r="D370" s="226"/>
      <c r="E370" s="226"/>
      <c r="F370" s="226"/>
      <c r="G370" s="226"/>
      <c r="H370" s="226"/>
      <c r="I370" s="226"/>
      <c r="J370" s="226"/>
      <c r="K370" s="226"/>
      <c r="L370" s="226"/>
      <c r="M370" s="226"/>
      <c r="N370" s="230"/>
    </row>
    <row r="371" spans="1:14" ht="76.5" x14ac:dyDescent="0.25">
      <c r="A371" s="223" t="s">
        <v>167</v>
      </c>
      <c r="B371" s="229" t="s">
        <v>45</v>
      </c>
      <c r="C371" s="225" t="s">
        <v>34</v>
      </c>
      <c r="D371" s="226"/>
      <c r="E371" s="226"/>
      <c r="F371" s="226"/>
      <c r="G371" s="226"/>
      <c r="H371" s="226"/>
      <c r="I371" s="226"/>
      <c r="J371" s="226"/>
      <c r="K371" s="239" t="s">
        <v>280</v>
      </c>
      <c r="L371" s="226"/>
      <c r="M371" s="226"/>
      <c r="N371" s="230">
        <f>N372</f>
        <v>200.44</v>
      </c>
    </row>
    <row r="372" spans="1:14" x14ac:dyDescent="0.25">
      <c r="A372" s="223"/>
      <c r="B372" s="224" t="s">
        <v>279</v>
      </c>
      <c r="C372" s="225"/>
      <c r="D372" s="226"/>
      <c r="E372" s="226"/>
      <c r="F372" s="226"/>
      <c r="G372" s="226"/>
      <c r="H372" s="226"/>
      <c r="I372" s="226"/>
      <c r="J372" s="226"/>
      <c r="K372" s="238">
        <v>1.25</v>
      </c>
      <c r="L372" s="226"/>
      <c r="M372" s="226">
        <f>N369</f>
        <v>160.35</v>
      </c>
      <c r="N372" s="228">
        <f>K372*M372</f>
        <v>200.44</v>
      </c>
    </row>
    <row r="373" spans="1:14" x14ac:dyDescent="0.25">
      <c r="A373" s="223"/>
      <c r="B373" s="229"/>
      <c r="C373" s="225"/>
      <c r="D373" s="226"/>
      <c r="E373" s="226"/>
      <c r="F373" s="226"/>
      <c r="G373" s="226"/>
      <c r="H373" s="226"/>
      <c r="I373" s="226"/>
      <c r="J373" s="226"/>
      <c r="K373" s="226"/>
      <c r="L373" s="226"/>
      <c r="M373" s="226"/>
      <c r="N373" s="230"/>
    </row>
    <row r="374" spans="1:14" ht="63.75" x14ac:dyDescent="0.25">
      <c r="A374" s="223" t="s">
        <v>168</v>
      </c>
      <c r="B374" s="229" t="s">
        <v>35</v>
      </c>
      <c r="C374" s="225" t="s">
        <v>36</v>
      </c>
      <c r="D374" s="226"/>
      <c r="E374" s="237" t="s">
        <v>281</v>
      </c>
      <c r="F374" s="226"/>
      <c r="G374" s="226"/>
      <c r="H374" s="226"/>
      <c r="I374" s="226"/>
      <c r="J374" s="226"/>
      <c r="K374" s="315"/>
      <c r="L374" s="226"/>
      <c r="M374" s="226"/>
      <c r="N374" s="230">
        <f>N375</f>
        <v>1002.2</v>
      </c>
    </row>
    <row r="375" spans="1:14" x14ac:dyDescent="0.25">
      <c r="A375" s="223"/>
      <c r="B375" s="224" t="s">
        <v>279</v>
      </c>
      <c r="C375" s="225"/>
      <c r="D375" s="226"/>
      <c r="E375" s="226">
        <v>5</v>
      </c>
      <c r="F375" s="226"/>
      <c r="G375" s="226"/>
      <c r="H375" s="226"/>
      <c r="I375" s="226"/>
      <c r="J375" s="226"/>
      <c r="K375" s="316"/>
      <c r="L375" s="226"/>
      <c r="M375" s="226">
        <f>N372</f>
        <v>200.44</v>
      </c>
      <c r="N375" s="228">
        <f>M375*E375</f>
        <v>1002.2</v>
      </c>
    </row>
    <row r="376" spans="1:14" x14ac:dyDescent="0.25">
      <c r="A376" s="223"/>
      <c r="B376" s="229"/>
      <c r="C376" s="225"/>
      <c r="D376" s="226"/>
      <c r="E376" s="226"/>
      <c r="F376" s="226"/>
      <c r="G376" s="226"/>
      <c r="H376" s="226"/>
      <c r="I376" s="226"/>
      <c r="J376" s="226"/>
      <c r="K376" s="226"/>
      <c r="L376" s="226"/>
      <c r="M376" s="226"/>
      <c r="N376" s="230"/>
    </row>
    <row r="377" spans="1:14" x14ac:dyDescent="0.25">
      <c r="A377" s="231" t="s">
        <v>169</v>
      </c>
      <c r="B377" s="224" t="s">
        <v>40</v>
      </c>
      <c r="C377" s="225"/>
      <c r="D377" s="226"/>
      <c r="E377" s="226"/>
      <c r="F377" s="226"/>
      <c r="G377" s="226"/>
      <c r="H377" s="226"/>
      <c r="I377" s="226"/>
      <c r="J377" s="226"/>
      <c r="K377" s="226"/>
      <c r="L377" s="226"/>
      <c r="M377" s="226"/>
      <c r="N377" s="230"/>
    </row>
    <row r="378" spans="1:14" ht="25.5" x14ac:dyDescent="0.25">
      <c r="A378" s="223" t="s">
        <v>170</v>
      </c>
      <c r="B378" s="229" t="s">
        <v>41</v>
      </c>
      <c r="C378" s="225" t="s">
        <v>42</v>
      </c>
      <c r="D378" s="226"/>
      <c r="E378" s="226"/>
      <c r="F378" s="226"/>
      <c r="G378" s="226"/>
      <c r="H378" s="226"/>
      <c r="I378" s="226"/>
      <c r="J378" s="226"/>
      <c r="K378" s="226"/>
      <c r="L378" s="226"/>
      <c r="M378" s="226"/>
      <c r="N378" s="230">
        <f>N379</f>
        <v>267.25</v>
      </c>
    </row>
    <row r="379" spans="1:14" x14ac:dyDescent="0.25">
      <c r="A379" s="223"/>
      <c r="B379" s="229"/>
      <c r="C379" s="225"/>
      <c r="D379" s="226"/>
      <c r="E379" s="226">
        <f>'MAPA DE CUBAÇÃO'!H133</f>
        <v>267.25</v>
      </c>
      <c r="F379" s="226"/>
      <c r="G379" s="226"/>
      <c r="H379" s="226"/>
      <c r="I379" s="226"/>
      <c r="J379" s="226"/>
      <c r="K379" s="226"/>
      <c r="L379" s="226"/>
      <c r="M379" s="226"/>
      <c r="N379" s="228">
        <f>E379</f>
        <v>267.25</v>
      </c>
    </row>
    <row r="380" spans="1:14" x14ac:dyDescent="0.25">
      <c r="A380" s="223"/>
      <c r="B380" s="229"/>
      <c r="C380" s="225"/>
      <c r="D380" s="226"/>
      <c r="E380" s="226"/>
      <c r="F380" s="226"/>
      <c r="G380" s="226"/>
      <c r="H380" s="226"/>
      <c r="I380" s="226"/>
      <c r="J380" s="226"/>
      <c r="K380" s="226"/>
      <c r="L380" s="226"/>
      <c r="M380" s="226"/>
      <c r="N380" s="228"/>
    </row>
    <row r="381" spans="1:14" ht="51" x14ac:dyDescent="0.25">
      <c r="A381" s="223" t="s">
        <v>171</v>
      </c>
      <c r="B381" s="229" t="s">
        <v>38</v>
      </c>
      <c r="C381" s="225" t="s">
        <v>30</v>
      </c>
      <c r="D381" s="226"/>
      <c r="E381" s="226"/>
      <c r="F381" s="226"/>
      <c r="G381" s="226"/>
      <c r="H381" s="226"/>
      <c r="I381" s="226"/>
      <c r="J381" s="226"/>
      <c r="K381" s="226"/>
      <c r="L381" s="226"/>
      <c r="M381" s="226"/>
      <c r="N381" s="230">
        <f>N382</f>
        <v>667.5</v>
      </c>
    </row>
    <row r="382" spans="1:14" x14ac:dyDescent="0.25">
      <c r="A382" s="223"/>
      <c r="B382" s="229"/>
      <c r="C382" s="225"/>
      <c r="D382" s="226"/>
      <c r="E382" s="226"/>
      <c r="F382" s="226"/>
      <c r="G382" s="226">
        <f>125.58+541.92</f>
        <v>667.5</v>
      </c>
      <c r="H382" s="226"/>
      <c r="I382" s="226"/>
      <c r="J382" s="226"/>
      <c r="K382" s="226"/>
      <c r="L382" s="226"/>
      <c r="M382" s="226"/>
      <c r="N382" s="228">
        <f>G382</f>
        <v>667.5</v>
      </c>
    </row>
    <row r="383" spans="1:14" x14ac:dyDescent="0.25">
      <c r="A383" s="223"/>
      <c r="B383" s="229"/>
      <c r="C383" s="225"/>
      <c r="D383" s="226"/>
      <c r="E383" s="226"/>
      <c r="F383" s="226"/>
      <c r="G383" s="226"/>
      <c r="H383" s="226"/>
      <c r="I383" s="226"/>
      <c r="J383" s="226"/>
      <c r="K383" s="226"/>
      <c r="L383" s="226"/>
      <c r="M383" s="226"/>
      <c r="N383" s="230"/>
    </row>
    <row r="384" spans="1:14" ht="76.5" x14ac:dyDescent="0.25">
      <c r="A384" s="223" t="s">
        <v>172</v>
      </c>
      <c r="B384" s="229" t="s">
        <v>44</v>
      </c>
      <c r="C384" s="225" t="s">
        <v>30</v>
      </c>
      <c r="D384" s="226"/>
      <c r="E384" s="226"/>
      <c r="F384" s="226"/>
      <c r="G384" s="226"/>
      <c r="H384" s="226"/>
      <c r="I384" s="226"/>
      <c r="J384" s="226"/>
      <c r="K384" s="226"/>
      <c r="L384" s="226"/>
      <c r="M384" s="226"/>
      <c r="N384" s="230">
        <f>N385</f>
        <v>667.5</v>
      </c>
    </row>
    <row r="385" spans="1:14" x14ac:dyDescent="0.25">
      <c r="A385" s="223"/>
      <c r="B385" s="229"/>
      <c r="C385" s="225"/>
      <c r="D385" s="226"/>
      <c r="E385" s="226"/>
      <c r="F385" s="226"/>
      <c r="G385" s="226">
        <f>G382</f>
        <v>667.5</v>
      </c>
      <c r="H385" s="226"/>
      <c r="I385" s="226"/>
      <c r="J385" s="226"/>
      <c r="K385" s="226"/>
      <c r="L385" s="226"/>
      <c r="M385" s="226"/>
      <c r="N385" s="228">
        <f>G385</f>
        <v>667.5</v>
      </c>
    </row>
    <row r="386" spans="1:14" x14ac:dyDescent="0.25">
      <c r="A386" s="223"/>
      <c r="B386" s="229"/>
      <c r="C386" s="225"/>
      <c r="D386" s="226"/>
      <c r="E386" s="226"/>
      <c r="F386" s="226"/>
      <c r="G386" s="226"/>
      <c r="H386" s="226"/>
      <c r="I386" s="226"/>
      <c r="J386" s="226"/>
      <c r="K386" s="226"/>
      <c r="L386" s="226"/>
      <c r="M386" s="226"/>
      <c r="N386" s="230"/>
    </row>
    <row r="387" spans="1:14" ht="102" x14ac:dyDescent="0.25">
      <c r="A387" s="223" t="s">
        <v>173</v>
      </c>
      <c r="B387" s="229" t="s">
        <v>49</v>
      </c>
      <c r="C387" s="225" t="s">
        <v>42</v>
      </c>
      <c r="D387" s="226"/>
      <c r="E387" s="226"/>
      <c r="F387" s="226"/>
      <c r="G387" s="226"/>
      <c r="H387" s="226"/>
      <c r="I387" s="226"/>
      <c r="J387" s="226"/>
      <c r="K387" s="226"/>
      <c r="L387" s="226"/>
      <c r="M387" s="226"/>
      <c r="N387" s="230">
        <f>N388</f>
        <v>623.36</v>
      </c>
    </row>
    <row r="388" spans="1:14" x14ac:dyDescent="0.25">
      <c r="A388" s="223"/>
      <c r="B388" s="229"/>
      <c r="C388" s="225"/>
      <c r="D388" s="226"/>
      <c r="E388" s="226">
        <f>541.92+81.44</f>
        <v>623.36</v>
      </c>
      <c r="F388" s="226"/>
      <c r="G388" s="226"/>
      <c r="H388" s="226"/>
      <c r="I388" s="226"/>
      <c r="J388" s="226"/>
      <c r="K388" s="226"/>
      <c r="L388" s="226"/>
      <c r="M388" s="226"/>
      <c r="N388" s="228">
        <f>E388</f>
        <v>623.36</v>
      </c>
    </row>
    <row r="389" spans="1:14" x14ac:dyDescent="0.25">
      <c r="A389" s="223"/>
      <c r="B389" s="229"/>
      <c r="C389" s="225"/>
      <c r="D389" s="226"/>
      <c r="E389" s="226"/>
      <c r="F389" s="226"/>
      <c r="G389" s="226"/>
      <c r="H389" s="226"/>
      <c r="I389" s="226"/>
      <c r="J389" s="226"/>
      <c r="K389" s="226"/>
      <c r="L389" s="226"/>
      <c r="M389" s="226"/>
      <c r="N389" s="230"/>
    </row>
    <row r="390" spans="1:14" x14ac:dyDescent="0.25">
      <c r="A390" s="231" t="s">
        <v>174</v>
      </c>
      <c r="B390" s="224" t="s">
        <v>471</v>
      </c>
      <c r="C390" s="225"/>
      <c r="D390" s="226"/>
      <c r="E390" s="226"/>
      <c r="F390" s="226"/>
      <c r="G390" s="226"/>
      <c r="H390" s="226"/>
      <c r="I390" s="226"/>
      <c r="J390" s="226"/>
      <c r="K390" s="226"/>
      <c r="L390" s="226"/>
      <c r="M390" s="226"/>
      <c r="N390" s="230"/>
    </row>
    <row r="391" spans="1:14" x14ac:dyDescent="0.25">
      <c r="A391" s="223" t="s">
        <v>175</v>
      </c>
      <c r="B391" s="229" t="s">
        <v>48</v>
      </c>
      <c r="C391" s="225" t="s">
        <v>42</v>
      </c>
      <c r="D391" s="226"/>
      <c r="E391" s="226"/>
      <c r="F391" s="226"/>
      <c r="G391" s="226"/>
      <c r="H391" s="226"/>
      <c r="I391" s="226"/>
      <c r="J391" s="226"/>
      <c r="K391" s="226"/>
      <c r="L391" s="226"/>
      <c r="M391" s="226"/>
      <c r="N391" s="230">
        <f>N392</f>
        <v>13.77</v>
      </c>
    </row>
    <row r="392" spans="1:14" x14ac:dyDescent="0.25">
      <c r="A392" s="223"/>
      <c r="B392" s="229"/>
      <c r="C392" s="225"/>
      <c r="D392" s="226"/>
      <c r="E392" s="226">
        <f>DRENAGEM!C20</f>
        <v>13.77</v>
      </c>
      <c r="F392" s="226"/>
      <c r="G392" s="226"/>
      <c r="H392" s="226"/>
      <c r="I392" s="226"/>
      <c r="J392" s="226"/>
      <c r="K392" s="226"/>
      <c r="L392" s="226"/>
      <c r="M392" s="226"/>
      <c r="N392" s="228">
        <f>E392</f>
        <v>13.77</v>
      </c>
    </row>
    <row r="393" spans="1:14" x14ac:dyDescent="0.25">
      <c r="A393" s="223"/>
      <c r="B393" s="229"/>
      <c r="C393" s="225"/>
      <c r="D393" s="226"/>
      <c r="E393" s="226"/>
      <c r="F393" s="226"/>
      <c r="G393" s="226"/>
      <c r="H393" s="226"/>
      <c r="I393" s="226"/>
      <c r="J393" s="226"/>
      <c r="K393" s="226"/>
      <c r="L393" s="226"/>
      <c r="M393" s="226"/>
      <c r="N393" s="230"/>
    </row>
    <row r="394" spans="1:14" ht="102" x14ac:dyDescent="0.25">
      <c r="A394" s="223" t="s">
        <v>176</v>
      </c>
      <c r="B394" s="229" t="s">
        <v>50</v>
      </c>
      <c r="C394" s="225" t="s">
        <v>34</v>
      </c>
      <c r="D394" s="226"/>
      <c r="E394" s="226"/>
      <c r="F394" s="226"/>
      <c r="G394" s="226"/>
      <c r="H394" s="226"/>
      <c r="I394" s="226"/>
      <c r="J394" s="226"/>
      <c r="K394" s="226"/>
      <c r="L394" s="226"/>
      <c r="M394" s="226"/>
      <c r="N394" s="230">
        <f>N395</f>
        <v>30.98</v>
      </c>
    </row>
    <row r="395" spans="1:14" x14ac:dyDescent="0.25">
      <c r="A395" s="223"/>
      <c r="B395" s="229"/>
      <c r="C395" s="225"/>
      <c r="D395" s="226"/>
      <c r="E395" s="226"/>
      <c r="F395" s="226"/>
      <c r="G395" s="226"/>
      <c r="H395" s="226"/>
      <c r="I395" s="226"/>
      <c r="J395" s="226"/>
      <c r="K395" s="226"/>
      <c r="L395" s="226"/>
      <c r="M395" s="226">
        <f>DRENAGEM!U20</f>
        <v>30.98</v>
      </c>
      <c r="N395" s="228">
        <f>M395</f>
        <v>30.98</v>
      </c>
    </row>
    <row r="396" spans="1:14" x14ac:dyDescent="0.25">
      <c r="A396" s="223"/>
      <c r="B396" s="229"/>
      <c r="C396" s="225"/>
      <c r="D396" s="226"/>
      <c r="E396" s="226"/>
      <c r="F396" s="226"/>
      <c r="G396" s="226"/>
      <c r="H396" s="226"/>
      <c r="I396" s="226"/>
      <c r="J396" s="226"/>
      <c r="K396" s="226"/>
      <c r="L396" s="226"/>
      <c r="M396" s="226"/>
      <c r="N396" s="230"/>
    </row>
    <row r="397" spans="1:14" ht="114.75" x14ac:dyDescent="0.25">
      <c r="A397" s="223" t="s">
        <v>615</v>
      </c>
      <c r="B397" s="229" t="s">
        <v>51</v>
      </c>
      <c r="C397" s="225" t="s">
        <v>34</v>
      </c>
      <c r="D397" s="226"/>
      <c r="E397" s="226"/>
      <c r="F397" s="226"/>
      <c r="G397" s="226"/>
      <c r="H397" s="226"/>
      <c r="I397" s="226"/>
      <c r="J397" s="226"/>
      <c r="K397" s="226"/>
      <c r="L397" s="226"/>
      <c r="M397" s="226"/>
      <c r="N397" s="230">
        <f>N398</f>
        <v>4.17</v>
      </c>
    </row>
    <row r="398" spans="1:14" x14ac:dyDescent="0.25">
      <c r="A398" s="223"/>
      <c r="B398" s="229"/>
      <c r="C398" s="225"/>
      <c r="D398" s="226"/>
      <c r="E398" s="226"/>
      <c r="F398" s="226"/>
      <c r="G398" s="226"/>
      <c r="H398" s="226"/>
      <c r="I398" s="226"/>
      <c r="J398" s="226"/>
      <c r="K398" s="226"/>
      <c r="L398" s="226"/>
      <c r="M398" s="226">
        <f>DRENAGEM!V20</f>
        <v>4.17</v>
      </c>
      <c r="N398" s="228">
        <f>M398</f>
        <v>4.17</v>
      </c>
    </row>
    <row r="399" spans="1:14" x14ac:dyDescent="0.25">
      <c r="A399" s="223"/>
      <c r="B399" s="229"/>
      <c r="C399" s="225"/>
      <c r="D399" s="226"/>
      <c r="E399" s="226"/>
      <c r="F399" s="226"/>
      <c r="G399" s="226"/>
      <c r="H399" s="226"/>
      <c r="I399" s="226"/>
      <c r="J399" s="226"/>
      <c r="K399" s="226"/>
      <c r="L399" s="226"/>
      <c r="M399" s="226"/>
      <c r="N399" s="230"/>
    </row>
    <row r="400" spans="1:14" ht="89.25" x14ac:dyDescent="0.25">
      <c r="A400" s="223" t="s">
        <v>616</v>
      </c>
      <c r="B400" s="229" t="s">
        <v>266</v>
      </c>
      <c r="C400" s="225" t="s">
        <v>42</v>
      </c>
      <c r="D400" s="226"/>
      <c r="E400" s="226"/>
      <c r="F400" s="226"/>
      <c r="G400" s="226"/>
      <c r="H400" s="226"/>
      <c r="I400" s="226"/>
      <c r="J400" s="226"/>
      <c r="K400" s="226"/>
      <c r="L400" s="226"/>
      <c r="M400" s="226"/>
      <c r="N400" s="230">
        <f>N401</f>
        <v>13.77</v>
      </c>
    </row>
    <row r="401" spans="1:14" x14ac:dyDescent="0.25">
      <c r="A401" s="223"/>
      <c r="B401" s="229"/>
      <c r="C401" s="225"/>
      <c r="D401" s="226"/>
      <c r="E401" s="226">
        <f>DRENAGEM!C20</f>
        <v>13.77</v>
      </c>
      <c r="F401" s="226"/>
      <c r="G401" s="226"/>
      <c r="H401" s="226"/>
      <c r="I401" s="226"/>
      <c r="J401" s="226"/>
      <c r="K401" s="226"/>
      <c r="L401" s="226"/>
      <c r="M401" s="226"/>
      <c r="N401" s="228">
        <f>E401</f>
        <v>13.77</v>
      </c>
    </row>
    <row r="402" spans="1:14" x14ac:dyDescent="0.25">
      <c r="A402" s="223"/>
      <c r="B402" s="229"/>
      <c r="C402" s="225"/>
      <c r="D402" s="226"/>
      <c r="E402" s="226"/>
      <c r="F402" s="226"/>
      <c r="G402" s="226"/>
      <c r="H402" s="226"/>
      <c r="I402" s="226"/>
      <c r="J402" s="226"/>
      <c r="K402" s="226"/>
      <c r="L402" s="226"/>
      <c r="M402" s="226"/>
      <c r="N402" s="230"/>
    </row>
    <row r="403" spans="1:14" ht="63.75" x14ac:dyDescent="0.25">
      <c r="A403" s="223" t="s">
        <v>617</v>
      </c>
      <c r="B403" s="229" t="s">
        <v>53</v>
      </c>
      <c r="C403" s="225" t="s">
        <v>30</v>
      </c>
      <c r="D403" s="226"/>
      <c r="E403" s="226"/>
      <c r="F403" s="226"/>
      <c r="G403" s="226"/>
      <c r="H403" s="226"/>
      <c r="I403" s="226"/>
      <c r="J403" s="226"/>
      <c r="K403" s="226"/>
      <c r="L403" s="226"/>
      <c r="M403" s="226"/>
      <c r="N403" s="230">
        <f>N404</f>
        <v>3.1</v>
      </c>
    </row>
    <row r="404" spans="1:14" x14ac:dyDescent="0.25">
      <c r="A404" s="223"/>
      <c r="B404" s="229"/>
      <c r="C404" s="225"/>
      <c r="D404" s="226"/>
      <c r="E404" s="226"/>
      <c r="F404" s="226"/>
      <c r="G404" s="226"/>
      <c r="H404" s="226"/>
      <c r="I404" s="226"/>
      <c r="J404" s="226"/>
      <c r="K404" s="226"/>
      <c r="L404" s="226"/>
      <c r="M404" s="226">
        <f>DRENAGEM!X20</f>
        <v>3.1</v>
      </c>
      <c r="N404" s="228">
        <f>M404</f>
        <v>3.1</v>
      </c>
    </row>
    <row r="405" spans="1:14" x14ac:dyDescent="0.25">
      <c r="A405" s="223"/>
      <c r="B405" s="229"/>
      <c r="C405" s="225"/>
      <c r="D405" s="226"/>
      <c r="E405" s="226"/>
      <c r="F405" s="226"/>
      <c r="G405" s="226"/>
      <c r="H405" s="226"/>
      <c r="I405" s="226"/>
      <c r="J405" s="226"/>
      <c r="K405" s="226"/>
      <c r="L405" s="226"/>
      <c r="M405" s="226"/>
      <c r="N405" s="230"/>
    </row>
    <row r="406" spans="1:14" ht="38.25" x14ac:dyDescent="0.25">
      <c r="A406" s="223" t="s">
        <v>618</v>
      </c>
      <c r="B406" s="229" t="s">
        <v>271</v>
      </c>
      <c r="C406" s="225" t="s">
        <v>34</v>
      </c>
      <c r="D406" s="226"/>
      <c r="E406" s="226"/>
      <c r="F406" s="226"/>
      <c r="G406" s="226"/>
      <c r="H406" s="226"/>
      <c r="I406" s="226"/>
      <c r="J406" s="226"/>
      <c r="K406" s="226"/>
      <c r="L406" s="226"/>
      <c r="M406" s="226"/>
      <c r="N406" s="230">
        <f>N407</f>
        <v>29.35</v>
      </c>
    </row>
    <row r="407" spans="1:14" x14ac:dyDescent="0.25">
      <c r="A407" s="223"/>
      <c r="B407" s="229"/>
      <c r="C407" s="225"/>
      <c r="D407" s="226"/>
      <c r="E407" s="226"/>
      <c r="F407" s="226"/>
      <c r="G407" s="226"/>
      <c r="H407" s="226"/>
      <c r="I407" s="226"/>
      <c r="J407" s="226"/>
      <c r="K407" s="226"/>
      <c r="L407" s="226"/>
      <c r="M407" s="226">
        <f>DRENAGEM!W20</f>
        <v>29.35</v>
      </c>
      <c r="N407" s="228">
        <f>M407</f>
        <v>29.35</v>
      </c>
    </row>
    <row r="408" spans="1:14" x14ac:dyDescent="0.25">
      <c r="A408" s="223"/>
      <c r="B408" s="229"/>
      <c r="C408" s="225"/>
      <c r="D408" s="226"/>
      <c r="E408" s="226"/>
      <c r="F408" s="226"/>
      <c r="G408" s="226"/>
      <c r="H408" s="226"/>
      <c r="I408" s="226"/>
      <c r="J408" s="226"/>
      <c r="K408" s="226"/>
      <c r="L408" s="226"/>
      <c r="M408" s="226"/>
      <c r="N408" s="230"/>
    </row>
    <row r="409" spans="1:14" ht="76.5" x14ac:dyDescent="0.25">
      <c r="A409" s="223" t="s">
        <v>619</v>
      </c>
      <c r="B409" s="229" t="s">
        <v>45</v>
      </c>
      <c r="C409" s="225" t="s">
        <v>34</v>
      </c>
      <c r="D409" s="226"/>
      <c r="E409" s="226"/>
      <c r="F409" s="226"/>
      <c r="G409" s="226"/>
      <c r="H409" s="226"/>
      <c r="I409" s="226"/>
      <c r="J409" s="226"/>
      <c r="K409" s="226"/>
      <c r="L409" s="226"/>
      <c r="M409" s="226"/>
      <c r="N409" s="230">
        <f>N410</f>
        <v>5.8</v>
      </c>
    </row>
    <row r="410" spans="1:14" x14ac:dyDescent="0.25">
      <c r="A410" s="223"/>
      <c r="B410" s="229"/>
      <c r="C410" s="225"/>
      <c r="D410" s="226"/>
      <c r="E410" s="226"/>
      <c r="F410" s="226"/>
      <c r="G410" s="226"/>
      <c r="H410" s="226"/>
      <c r="I410" s="226"/>
      <c r="J410" s="226"/>
      <c r="K410" s="226"/>
      <c r="L410" s="226"/>
      <c r="M410" s="226">
        <f>DRENAGEM!Y20</f>
        <v>5.8</v>
      </c>
      <c r="N410" s="228">
        <f>M410</f>
        <v>5.8</v>
      </c>
    </row>
    <row r="411" spans="1:14" x14ac:dyDescent="0.25">
      <c r="A411" s="223"/>
      <c r="B411" s="229"/>
      <c r="C411" s="225"/>
      <c r="D411" s="226"/>
      <c r="E411" s="226"/>
      <c r="F411" s="226"/>
      <c r="G411" s="226"/>
      <c r="H411" s="226"/>
      <c r="I411" s="226"/>
      <c r="J411" s="226"/>
      <c r="K411" s="226"/>
      <c r="L411" s="226"/>
      <c r="M411" s="226"/>
      <c r="N411" s="230"/>
    </row>
    <row r="412" spans="1:14" ht="38.25" x14ac:dyDescent="0.25">
      <c r="A412" s="223" t="s">
        <v>620</v>
      </c>
      <c r="B412" s="229" t="s">
        <v>54</v>
      </c>
      <c r="C412" s="225" t="s">
        <v>55</v>
      </c>
      <c r="D412" s="226"/>
      <c r="E412" s="237" t="s">
        <v>281</v>
      </c>
      <c r="F412" s="226"/>
      <c r="G412" s="226"/>
      <c r="H412" s="226"/>
      <c r="I412" s="226"/>
      <c r="J412" s="226"/>
      <c r="K412" s="239" t="s">
        <v>280</v>
      </c>
      <c r="L412" s="226"/>
      <c r="M412" s="226"/>
      <c r="N412" s="230">
        <f>N413</f>
        <v>36.25</v>
      </c>
    </row>
    <row r="413" spans="1:14" x14ac:dyDescent="0.25">
      <c r="A413" s="223"/>
      <c r="B413" s="229"/>
      <c r="C413" s="225"/>
      <c r="D413" s="226"/>
      <c r="E413" s="226">
        <v>5</v>
      </c>
      <c r="F413" s="226"/>
      <c r="G413" s="226"/>
      <c r="H413" s="226"/>
      <c r="I413" s="226"/>
      <c r="J413" s="226"/>
      <c r="K413" s="238">
        <v>1.25</v>
      </c>
      <c r="L413" s="226"/>
      <c r="M413" s="226">
        <f>M410</f>
        <v>5.8</v>
      </c>
      <c r="N413" s="228">
        <f>E413*K413*M413</f>
        <v>36.25</v>
      </c>
    </row>
    <row r="414" spans="1:14" x14ac:dyDescent="0.25">
      <c r="A414" s="223"/>
      <c r="B414" s="229"/>
      <c r="C414" s="225"/>
      <c r="D414" s="226"/>
      <c r="E414" s="226"/>
      <c r="F414" s="226"/>
      <c r="G414" s="226"/>
      <c r="H414" s="226"/>
      <c r="I414" s="226"/>
      <c r="J414" s="226"/>
      <c r="K414" s="226"/>
      <c r="L414" s="226"/>
      <c r="M414" s="226"/>
      <c r="N414" s="230"/>
    </row>
    <row r="415" spans="1:14" ht="63.75" x14ac:dyDescent="0.25">
      <c r="A415" s="223" t="s">
        <v>621</v>
      </c>
      <c r="B415" s="229" t="s">
        <v>275</v>
      </c>
      <c r="C415" s="225" t="s">
        <v>30</v>
      </c>
      <c r="D415" s="226"/>
      <c r="E415" s="226"/>
      <c r="F415" s="226"/>
      <c r="G415" s="226"/>
      <c r="H415" s="226"/>
      <c r="I415" s="226"/>
      <c r="J415" s="226"/>
      <c r="K415" s="226"/>
      <c r="L415" s="226"/>
      <c r="M415" s="226"/>
      <c r="N415" s="230">
        <f>N416</f>
        <v>42.73</v>
      </c>
    </row>
    <row r="416" spans="1:14" x14ac:dyDescent="0.25">
      <c r="A416" s="223"/>
      <c r="B416" s="229"/>
      <c r="C416" s="225"/>
      <c r="D416" s="226"/>
      <c r="E416" s="226"/>
      <c r="F416" s="226"/>
      <c r="G416" s="226"/>
      <c r="H416" s="226"/>
      <c r="I416" s="226"/>
      <c r="J416" s="226"/>
      <c r="K416" s="226"/>
      <c r="L416" s="226">
        <f>DRENAGEM!Z20</f>
        <v>42.73</v>
      </c>
      <c r="M416" s="226"/>
      <c r="N416" s="228">
        <f>L416</f>
        <v>42.73</v>
      </c>
    </row>
    <row r="417" spans="1:18" x14ac:dyDescent="0.25">
      <c r="A417" s="223"/>
      <c r="B417" s="229"/>
      <c r="C417" s="225"/>
      <c r="D417" s="226"/>
      <c r="E417" s="226"/>
      <c r="F417" s="226"/>
      <c r="G417" s="226"/>
      <c r="H417" s="226"/>
      <c r="I417" s="226"/>
      <c r="J417" s="226"/>
      <c r="K417" s="226"/>
      <c r="L417" s="226"/>
      <c r="M417" s="226"/>
      <c r="N417" s="230"/>
    </row>
    <row r="418" spans="1:18" ht="63.75" x14ac:dyDescent="0.25">
      <c r="A418" s="223" t="s">
        <v>622</v>
      </c>
      <c r="B418" s="229" t="s">
        <v>58</v>
      </c>
      <c r="C418" s="225" t="s">
        <v>42</v>
      </c>
      <c r="D418" s="226"/>
      <c r="E418" s="226"/>
      <c r="F418" s="226"/>
      <c r="G418" s="226"/>
      <c r="H418" s="226"/>
      <c r="I418" s="226"/>
      <c r="J418" s="226"/>
      <c r="K418" s="226"/>
      <c r="L418" s="226"/>
      <c r="M418" s="226"/>
      <c r="N418" s="230">
        <f>N419</f>
        <v>1.2</v>
      </c>
    </row>
    <row r="419" spans="1:18" x14ac:dyDescent="0.25">
      <c r="A419" s="223"/>
      <c r="B419" s="229"/>
      <c r="C419" s="225"/>
      <c r="D419" s="226"/>
      <c r="E419" s="226"/>
      <c r="F419" s="226">
        <v>0.6</v>
      </c>
      <c r="G419" s="226"/>
      <c r="H419" s="226"/>
      <c r="I419" s="226">
        <v>2</v>
      </c>
      <c r="J419" s="226"/>
      <c r="K419" s="226"/>
      <c r="L419" s="226"/>
      <c r="M419" s="226"/>
      <c r="N419" s="228">
        <f>F419*I419</f>
        <v>1.2</v>
      </c>
    </row>
    <row r="420" spans="1:18" x14ac:dyDescent="0.25">
      <c r="A420" s="223"/>
      <c r="B420" s="229"/>
      <c r="C420" s="225"/>
      <c r="D420" s="226"/>
      <c r="E420" s="226"/>
      <c r="F420" s="226"/>
      <c r="G420" s="226"/>
      <c r="H420" s="226"/>
      <c r="I420" s="226"/>
      <c r="J420" s="226"/>
      <c r="K420" s="226"/>
      <c r="L420" s="226"/>
      <c r="M420" s="226"/>
      <c r="N420" s="230"/>
    </row>
    <row r="421" spans="1:18" ht="63.75" x14ac:dyDescent="0.25">
      <c r="A421" s="223" t="s">
        <v>623</v>
      </c>
      <c r="B421" s="229" t="s">
        <v>273</v>
      </c>
      <c r="C421" s="225" t="s">
        <v>57</v>
      </c>
      <c r="D421" s="226"/>
      <c r="E421" s="226"/>
      <c r="F421" s="226"/>
      <c r="G421" s="226"/>
      <c r="H421" s="226"/>
      <c r="I421" s="226"/>
      <c r="J421" s="226"/>
      <c r="K421" s="226"/>
      <c r="L421" s="226"/>
      <c r="M421" s="226"/>
      <c r="N421" s="230">
        <f>N422</f>
        <v>2</v>
      </c>
      <c r="Q421">
        <f>380*6</f>
        <v>2280</v>
      </c>
      <c r="R421">
        <f>Q421*100</f>
        <v>228000</v>
      </c>
    </row>
    <row r="422" spans="1:18" x14ac:dyDescent="0.25">
      <c r="A422" s="223"/>
      <c r="B422" s="229"/>
      <c r="C422" s="225"/>
      <c r="D422" s="226"/>
      <c r="E422" s="226"/>
      <c r="F422" s="226"/>
      <c r="G422" s="226"/>
      <c r="H422" s="226"/>
      <c r="I422" s="226">
        <v>2</v>
      </c>
      <c r="J422" s="226"/>
      <c r="K422" s="226"/>
      <c r="L422" s="226"/>
      <c r="M422" s="226"/>
      <c r="N422" s="228">
        <f>I422</f>
        <v>2</v>
      </c>
    </row>
    <row r="423" spans="1:18" x14ac:dyDescent="0.25">
      <c r="A423" s="223"/>
      <c r="B423" s="229"/>
      <c r="C423" s="225"/>
      <c r="D423" s="226"/>
      <c r="E423" s="226"/>
      <c r="F423" s="226"/>
      <c r="G423" s="226"/>
      <c r="H423" s="226"/>
      <c r="I423" s="226"/>
      <c r="J423" s="226"/>
      <c r="K423" s="226"/>
      <c r="L423" s="226"/>
      <c r="M423" s="226"/>
      <c r="N423" s="230"/>
    </row>
    <row r="424" spans="1:18" ht="63.75" x14ac:dyDescent="0.25">
      <c r="A424" s="223" t="s">
        <v>624</v>
      </c>
      <c r="B424" s="229" t="s">
        <v>445</v>
      </c>
      <c r="C424" s="225" t="s">
        <v>57</v>
      </c>
      <c r="D424" s="226"/>
      <c r="E424" s="226"/>
      <c r="F424" s="226"/>
      <c r="G424" s="226"/>
      <c r="H424" s="226"/>
      <c r="I424" s="226"/>
      <c r="J424" s="226"/>
      <c r="K424" s="226"/>
      <c r="L424" s="226"/>
      <c r="M424" s="226"/>
      <c r="N424" s="230">
        <f>N425</f>
        <v>2</v>
      </c>
    </row>
    <row r="425" spans="1:18" x14ac:dyDescent="0.25">
      <c r="A425" s="223"/>
      <c r="B425" s="229"/>
      <c r="C425" s="225"/>
      <c r="D425" s="226"/>
      <c r="E425" s="226"/>
      <c r="F425" s="226"/>
      <c r="G425" s="226"/>
      <c r="H425" s="226"/>
      <c r="I425" s="226">
        <v>2</v>
      </c>
      <c r="J425" s="226"/>
      <c r="K425" s="226"/>
      <c r="L425" s="226"/>
      <c r="M425" s="226"/>
      <c r="N425" s="228">
        <f>I425</f>
        <v>2</v>
      </c>
    </row>
    <row r="426" spans="1:18" x14ac:dyDescent="0.25">
      <c r="A426" s="223"/>
      <c r="B426" s="229"/>
      <c r="C426" s="225"/>
      <c r="D426" s="226"/>
      <c r="E426" s="226"/>
      <c r="F426" s="226"/>
      <c r="G426" s="226"/>
      <c r="H426" s="226"/>
      <c r="I426" s="226"/>
      <c r="J426" s="226"/>
      <c r="K426" s="226"/>
      <c r="L426" s="226"/>
      <c r="M426" s="226"/>
      <c r="N426" s="230"/>
    </row>
    <row r="427" spans="1:18" ht="51" x14ac:dyDescent="0.25">
      <c r="A427" s="223" t="s">
        <v>625</v>
      </c>
      <c r="B427" s="229" t="s">
        <v>274</v>
      </c>
      <c r="C427" s="225" t="s">
        <v>57</v>
      </c>
      <c r="D427" s="226"/>
      <c r="E427" s="226"/>
      <c r="F427" s="226"/>
      <c r="G427" s="226"/>
      <c r="H427" s="226"/>
      <c r="I427" s="226"/>
      <c r="J427" s="226"/>
      <c r="K427" s="226"/>
      <c r="L427" s="226"/>
      <c r="M427" s="226"/>
      <c r="N427" s="230">
        <f>N428</f>
        <v>2</v>
      </c>
    </row>
    <row r="428" spans="1:18" x14ac:dyDescent="0.25">
      <c r="A428" s="223"/>
      <c r="B428" s="229"/>
      <c r="C428" s="225"/>
      <c r="D428" s="226"/>
      <c r="E428" s="226"/>
      <c r="F428" s="226"/>
      <c r="G428" s="226"/>
      <c r="H428" s="226"/>
      <c r="I428" s="226">
        <v>2</v>
      </c>
      <c r="J428" s="226"/>
      <c r="K428" s="226"/>
      <c r="L428" s="226"/>
      <c r="M428" s="226"/>
      <c r="N428" s="228">
        <f>I428</f>
        <v>2</v>
      </c>
    </row>
    <row r="429" spans="1:18" ht="18.600000000000001" customHeight="1" x14ac:dyDescent="0.25">
      <c r="A429" s="223"/>
      <c r="B429" s="229"/>
      <c r="C429" s="225"/>
      <c r="D429" s="226"/>
      <c r="E429" s="226"/>
      <c r="F429" s="226"/>
      <c r="G429" s="226"/>
      <c r="H429" s="226"/>
      <c r="I429" s="226"/>
      <c r="J429" s="226"/>
      <c r="K429" s="226"/>
      <c r="L429" s="226"/>
      <c r="M429" s="226"/>
      <c r="N429" s="230"/>
    </row>
    <row r="430" spans="1:18" x14ac:dyDescent="0.25">
      <c r="A430" s="885" t="s">
        <v>462</v>
      </c>
      <c r="B430" s="886"/>
      <c r="C430" s="886"/>
      <c r="D430" s="886"/>
      <c r="E430" s="886"/>
      <c r="F430" s="886"/>
      <c r="G430" s="886"/>
      <c r="H430" s="886"/>
      <c r="I430" s="886"/>
      <c r="J430" s="886"/>
      <c r="K430" s="886"/>
      <c r="L430" s="886"/>
      <c r="M430" s="886"/>
      <c r="N430" s="887"/>
    </row>
    <row r="431" spans="1:18" x14ac:dyDescent="0.25">
      <c r="A431" s="232" t="s">
        <v>315</v>
      </c>
      <c r="B431" s="233" t="s">
        <v>456</v>
      </c>
      <c r="C431" s="234"/>
      <c r="D431" s="235"/>
      <c r="E431" s="235"/>
      <c r="F431" s="235"/>
      <c r="G431" s="235"/>
      <c r="H431" s="235"/>
      <c r="I431" s="235"/>
      <c r="J431" s="235"/>
      <c r="K431" s="235"/>
      <c r="L431" s="235"/>
      <c r="M431" s="235"/>
      <c r="N431" s="236"/>
    </row>
    <row r="432" spans="1:18" x14ac:dyDescent="0.25">
      <c r="A432" s="231" t="s">
        <v>316</v>
      </c>
      <c r="B432" s="224" t="s">
        <v>33</v>
      </c>
      <c r="C432" s="225"/>
      <c r="D432" s="226"/>
      <c r="E432" s="226"/>
      <c r="F432" s="226"/>
      <c r="G432" s="226"/>
      <c r="H432" s="226"/>
      <c r="I432" s="226"/>
      <c r="J432" s="226"/>
      <c r="K432" s="226"/>
      <c r="L432" s="226"/>
      <c r="M432" s="226"/>
      <c r="N432" s="230"/>
    </row>
    <row r="433" spans="1:14" ht="51" x14ac:dyDescent="0.25">
      <c r="A433" s="223" t="s">
        <v>317</v>
      </c>
      <c r="B433" s="229" t="s">
        <v>270</v>
      </c>
      <c r="C433" s="225" t="s">
        <v>34</v>
      </c>
      <c r="D433" s="226"/>
      <c r="E433" s="226"/>
      <c r="F433" s="226"/>
      <c r="G433" s="226"/>
      <c r="H433" s="226"/>
      <c r="I433" s="226"/>
      <c r="J433" s="226"/>
      <c r="K433" s="226"/>
      <c r="L433" s="226"/>
      <c r="M433" s="226"/>
      <c r="N433" s="230">
        <f>N434</f>
        <v>293.08999999999997</v>
      </c>
    </row>
    <row r="434" spans="1:14" x14ac:dyDescent="0.25">
      <c r="A434" s="223"/>
      <c r="B434" s="224" t="s">
        <v>279</v>
      </c>
      <c r="C434" s="225"/>
      <c r="D434" s="226"/>
      <c r="E434" s="226"/>
      <c r="F434" s="226"/>
      <c r="G434" s="226"/>
      <c r="H434" s="226"/>
      <c r="I434" s="226"/>
      <c r="J434" s="226"/>
      <c r="K434" s="226"/>
      <c r="L434" s="226"/>
      <c r="M434" s="226">
        <f>'MAPA DE CUBAÇÃO'!I144</f>
        <v>293.08999999999997</v>
      </c>
      <c r="N434" s="228">
        <f>M434</f>
        <v>293.08999999999997</v>
      </c>
    </row>
    <row r="435" spans="1:14" x14ac:dyDescent="0.25">
      <c r="A435" s="223"/>
      <c r="B435" s="229"/>
      <c r="C435" s="225"/>
      <c r="D435" s="226"/>
      <c r="E435" s="226"/>
      <c r="F435" s="226"/>
      <c r="G435" s="226"/>
      <c r="H435" s="226"/>
      <c r="I435" s="226"/>
      <c r="J435" s="226"/>
      <c r="K435" s="226"/>
      <c r="L435" s="226"/>
      <c r="M435" s="226"/>
      <c r="N435" s="230"/>
    </row>
    <row r="436" spans="1:14" ht="76.5" x14ac:dyDescent="0.25">
      <c r="A436" s="223" t="s">
        <v>318</v>
      </c>
      <c r="B436" s="229" t="s">
        <v>45</v>
      </c>
      <c r="C436" s="225" t="s">
        <v>34</v>
      </c>
      <c r="D436" s="226"/>
      <c r="E436" s="226"/>
      <c r="F436" s="226"/>
      <c r="G436" s="226"/>
      <c r="H436" s="226"/>
      <c r="I436" s="226"/>
      <c r="J436" s="226"/>
      <c r="K436" s="239" t="s">
        <v>280</v>
      </c>
      <c r="L436" s="226"/>
      <c r="M436" s="226"/>
      <c r="N436" s="230">
        <f>N437</f>
        <v>366.36</v>
      </c>
    </row>
    <row r="437" spans="1:14" x14ac:dyDescent="0.25">
      <c r="A437" s="223"/>
      <c r="B437" s="224" t="s">
        <v>279</v>
      </c>
      <c r="C437" s="225"/>
      <c r="D437" s="226"/>
      <c r="E437" s="226"/>
      <c r="F437" s="226"/>
      <c r="G437" s="226"/>
      <c r="H437" s="226"/>
      <c r="I437" s="226"/>
      <c r="J437" s="226"/>
      <c r="K437" s="238">
        <v>1.25</v>
      </c>
      <c r="L437" s="226"/>
      <c r="M437" s="226">
        <f>N434</f>
        <v>293.08999999999997</v>
      </c>
      <c r="N437" s="228">
        <f>K437*M437</f>
        <v>366.36</v>
      </c>
    </row>
    <row r="438" spans="1:14" x14ac:dyDescent="0.25">
      <c r="A438" s="223"/>
      <c r="B438" s="229"/>
      <c r="C438" s="225"/>
      <c r="D438" s="226"/>
      <c r="E438" s="226"/>
      <c r="F438" s="226"/>
      <c r="G438" s="226"/>
      <c r="H438" s="226"/>
      <c r="I438" s="226"/>
      <c r="J438" s="226"/>
      <c r="K438" s="226"/>
      <c r="L438" s="226"/>
      <c r="M438" s="226"/>
      <c r="N438" s="230"/>
    </row>
    <row r="439" spans="1:14" ht="63.75" x14ac:dyDescent="0.25">
      <c r="A439" s="223" t="s">
        <v>319</v>
      </c>
      <c r="B439" s="229" t="s">
        <v>35</v>
      </c>
      <c r="C439" s="225" t="s">
        <v>36</v>
      </c>
      <c r="D439" s="226"/>
      <c r="E439" s="237" t="s">
        <v>281</v>
      </c>
      <c r="F439" s="226"/>
      <c r="G439" s="226"/>
      <c r="H439" s="226"/>
      <c r="I439" s="226"/>
      <c r="J439" s="226"/>
      <c r="K439" s="315"/>
      <c r="L439" s="226"/>
      <c r="M439" s="226"/>
      <c r="N439" s="230">
        <f>N440</f>
        <v>1831.8</v>
      </c>
    </row>
    <row r="440" spans="1:14" x14ac:dyDescent="0.25">
      <c r="A440" s="223"/>
      <c r="B440" s="224" t="s">
        <v>279</v>
      </c>
      <c r="C440" s="225"/>
      <c r="D440" s="226"/>
      <c r="E440" s="226">
        <v>5</v>
      </c>
      <c r="F440" s="226"/>
      <c r="G440" s="226"/>
      <c r="H440" s="226"/>
      <c r="I440" s="226"/>
      <c r="J440" s="226"/>
      <c r="K440" s="316"/>
      <c r="L440" s="226"/>
      <c r="M440" s="226">
        <f>N437</f>
        <v>366.36</v>
      </c>
      <c r="N440" s="228">
        <f>M440*E440</f>
        <v>1831.8</v>
      </c>
    </row>
    <row r="441" spans="1:14" x14ac:dyDescent="0.25">
      <c r="A441" s="223"/>
      <c r="B441" s="229"/>
      <c r="C441" s="225"/>
      <c r="D441" s="226"/>
      <c r="E441" s="226"/>
      <c r="F441" s="226"/>
      <c r="G441" s="226"/>
      <c r="H441" s="226"/>
      <c r="I441" s="226"/>
      <c r="J441" s="226"/>
      <c r="K441" s="226"/>
      <c r="L441" s="226"/>
      <c r="M441" s="226"/>
      <c r="N441" s="230"/>
    </row>
    <row r="442" spans="1:14" x14ac:dyDescent="0.25">
      <c r="A442" s="231" t="s">
        <v>320</v>
      </c>
      <c r="B442" s="224" t="s">
        <v>40</v>
      </c>
      <c r="C442" s="225"/>
      <c r="D442" s="226"/>
      <c r="E442" s="226"/>
      <c r="F442" s="226"/>
      <c r="G442" s="226"/>
      <c r="H442" s="226"/>
      <c r="I442" s="226"/>
      <c r="J442" s="226"/>
      <c r="K442" s="226"/>
      <c r="L442" s="226"/>
      <c r="M442" s="226"/>
      <c r="N442" s="230"/>
    </row>
    <row r="443" spans="1:14" ht="25.5" x14ac:dyDescent="0.25">
      <c r="A443" s="223" t="s">
        <v>321</v>
      </c>
      <c r="B443" s="229" t="s">
        <v>41</v>
      </c>
      <c r="C443" s="225" t="s">
        <v>42</v>
      </c>
      <c r="D443" s="226"/>
      <c r="E443" s="226"/>
      <c r="F443" s="226"/>
      <c r="G443" s="226"/>
      <c r="H443" s="226"/>
      <c r="I443" s="226"/>
      <c r="J443" s="226"/>
      <c r="K443" s="226"/>
      <c r="L443" s="226"/>
      <c r="M443" s="226"/>
      <c r="N443" s="230">
        <f>N444</f>
        <v>488.49</v>
      </c>
    </row>
    <row r="444" spans="1:14" x14ac:dyDescent="0.25">
      <c r="A444" s="223"/>
      <c r="B444" s="229"/>
      <c r="C444" s="225"/>
      <c r="D444" s="226"/>
      <c r="E444" s="226">
        <f>'MAPA DE CUBAÇÃO'!H171</f>
        <v>488.49</v>
      </c>
      <c r="F444" s="226"/>
      <c r="G444" s="226"/>
      <c r="H444" s="226"/>
      <c r="I444" s="226"/>
      <c r="J444" s="226"/>
      <c r="K444" s="226"/>
      <c r="L444" s="226"/>
      <c r="M444" s="226"/>
      <c r="N444" s="228">
        <f>E444</f>
        <v>488.49</v>
      </c>
    </row>
    <row r="445" spans="1:14" x14ac:dyDescent="0.25">
      <c r="A445" s="223"/>
      <c r="B445" s="229"/>
      <c r="C445" s="225"/>
      <c r="D445" s="226"/>
      <c r="E445" s="226"/>
      <c r="F445" s="226"/>
      <c r="G445" s="226"/>
      <c r="H445" s="226"/>
      <c r="I445" s="226"/>
      <c r="J445" s="226"/>
      <c r="K445" s="226"/>
      <c r="L445" s="226"/>
      <c r="M445" s="226"/>
      <c r="N445" s="228"/>
    </row>
    <row r="446" spans="1:14" ht="51" x14ac:dyDescent="0.25">
      <c r="A446" s="223" t="s">
        <v>322</v>
      </c>
      <c r="B446" s="229" t="s">
        <v>38</v>
      </c>
      <c r="C446" s="225" t="s">
        <v>30</v>
      </c>
      <c r="D446" s="226"/>
      <c r="E446" s="226"/>
      <c r="F446" s="226"/>
      <c r="G446" s="226"/>
      <c r="H446" s="226"/>
      <c r="I446" s="226"/>
      <c r="J446" s="226"/>
      <c r="K446" s="226"/>
      <c r="L446" s="226"/>
      <c r="M446" s="226"/>
      <c r="N446" s="230">
        <f>N447</f>
        <v>3583.35</v>
      </c>
    </row>
    <row r="447" spans="1:14" x14ac:dyDescent="0.25">
      <c r="A447" s="223"/>
      <c r="B447" s="229"/>
      <c r="C447" s="225"/>
      <c r="D447" s="226"/>
      <c r="E447" s="226"/>
      <c r="F447" s="226"/>
      <c r="G447" s="226">
        <v>3583.35</v>
      </c>
      <c r="H447" s="226"/>
      <c r="I447" s="226"/>
      <c r="J447" s="226"/>
      <c r="K447" s="226"/>
      <c r="L447" s="226"/>
      <c r="M447" s="226"/>
      <c r="N447" s="228">
        <f>G447</f>
        <v>3583.35</v>
      </c>
    </row>
    <row r="448" spans="1:14" x14ac:dyDescent="0.25">
      <c r="A448" s="223"/>
      <c r="B448" s="229"/>
      <c r="C448" s="225"/>
      <c r="D448" s="226"/>
      <c r="E448" s="226"/>
      <c r="F448" s="226"/>
      <c r="G448" s="226"/>
      <c r="H448" s="226"/>
      <c r="I448" s="226"/>
      <c r="J448" s="226"/>
      <c r="K448" s="226"/>
      <c r="L448" s="226"/>
      <c r="M448" s="226"/>
      <c r="N448" s="230"/>
    </row>
    <row r="449" spans="1:14" ht="76.5" x14ac:dyDescent="0.25">
      <c r="A449" s="223" t="s">
        <v>323</v>
      </c>
      <c r="B449" s="229" t="s">
        <v>44</v>
      </c>
      <c r="C449" s="225" t="s">
        <v>30</v>
      </c>
      <c r="D449" s="226"/>
      <c r="E449" s="226"/>
      <c r="F449" s="226"/>
      <c r="G449" s="226"/>
      <c r="H449" s="226"/>
      <c r="I449" s="226"/>
      <c r="J449" s="226"/>
      <c r="K449" s="226"/>
      <c r="L449" s="226"/>
      <c r="M449" s="226"/>
      <c r="N449" s="230">
        <f>N450</f>
        <v>3583.35</v>
      </c>
    </row>
    <row r="450" spans="1:14" x14ac:dyDescent="0.25">
      <c r="A450" s="223"/>
      <c r="B450" s="229"/>
      <c r="C450" s="225"/>
      <c r="D450" s="226"/>
      <c r="E450" s="226"/>
      <c r="F450" s="226"/>
      <c r="G450" s="226">
        <v>3583.35</v>
      </c>
      <c r="H450" s="226"/>
      <c r="I450" s="226"/>
      <c r="J450" s="226"/>
      <c r="K450" s="226"/>
      <c r="L450" s="226"/>
      <c r="M450" s="226"/>
      <c r="N450" s="228">
        <f>G450</f>
        <v>3583.35</v>
      </c>
    </row>
    <row r="451" spans="1:14" x14ac:dyDescent="0.25">
      <c r="A451" s="223"/>
      <c r="B451" s="229"/>
      <c r="C451" s="225"/>
      <c r="D451" s="226"/>
      <c r="E451" s="226"/>
      <c r="F451" s="226"/>
      <c r="G451" s="226"/>
      <c r="H451" s="226"/>
      <c r="I451" s="226"/>
      <c r="J451" s="226"/>
      <c r="K451" s="226"/>
      <c r="L451" s="226"/>
      <c r="M451" s="226"/>
      <c r="N451" s="230"/>
    </row>
    <row r="452" spans="1:14" ht="102" x14ac:dyDescent="0.25">
      <c r="A452" s="223" t="s">
        <v>324</v>
      </c>
      <c r="B452" s="229" t="s">
        <v>49</v>
      </c>
      <c r="C452" s="225" t="s">
        <v>42</v>
      </c>
      <c r="D452" s="226"/>
      <c r="E452" s="226"/>
      <c r="F452" s="226"/>
      <c r="G452" s="226"/>
      <c r="H452" s="226"/>
      <c r="I452" s="226"/>
      <c r="J452" s="226"/>
      <c r="K452" s="226"/>
      <c r="L452" s="226"/>
      <c r="M452" s="226"/>
      <c r="N452" s="230">
        <f>N453</f>
        <v>1039.29</v>
      </c>
    </row>
    <row r="453" spans="1:14" x14ac:dyDescent="0.25">
      <c r="A453" s="223"/>
      <c r="B453" s="229"/>
      <c r="C453" s="225"/>
      <c r="D453" s="226"/>
      <c r="E453" s="226">
        <v>1039.29</v>
      </c>
      <c r="F453" s="226"/>
      <c r="G453" s="226"/>
      <c r="H453" s="226"/>
      <c r="I453" s="226"/>
      <c r="J453" s="226"/>
      <c r="K453" s="226"/>
      <c r="L453" s="226"/>
      <c r="M453" s="226"/>
      <c r="N453" s="228">
        <f>E453</f>
        <v>1039.29</v>
      </c>
    </row>
    <row r="454" spans="1:14" x14ac:dyDescent="0.25">
      <c r="A454" s="223"/>
      <c r="B454" s="229"/>
      <c r="C454" s="225"/>
      <c r="D454" s="226"/>
      <c r="E454" s="226"/>
      <c r="F454" s="226"/>
      <c r="G454" s="226"/>
      <c r="H454" s="226"/>
      <c r="I454" s="226"/>
      <c r="J454" s="226"/>
      <c r="K454" s="226"/>
      <c r="L454" s="226"/>
      <c r="M454" s="226"/>
      <c r="N454" s="230"/>
    </row>
    <row r="455" spans="1:14" x14ac:dyDescent="0.25">
      <c r="A455" s="231" t="s">
        <v>325</v>
      </c>
      <c r="B455" s="224" t="s">
        <v>471</v>
      </c>
      <c r="C455" s="225"/>
      <c r="D455" s="226"/>
      <c r="E455" s="226"/>
      <c r="F455" s="226"/>
      <c r="G455" s="226"/>
      <c r="H455" s="226"/>
      <c r="I455" s="226"/>
      <c r="J455" s="226"/>
      <c r="K455" s="226"/>
      <c r="L455" s="226"/>
      <c r="M455" s="226"/>
      <c r="N455" s="230"/>
    </row>
    <row r="456" spans="1:14" ht="63.75" x14ac:dyDescent="0.25">
      <c r="A456" s="223" t="s">
        <v>326</v>
      </c>
      <c r="B456" s="229" t="s">
        <v>58</v>
      </c>
      <c r="C456" s="225" t="s">
        <v>42</v>
      </c>
      <c r="D456" s="226"/>
      <c r="E456" s="226"/>
      <c r="F456" s="226"/>
      <c r="G456" s="226"/>
      <c r="H456" s="226"/>
      <c r="I456" s="226"/>
      <c r="J456" s="226"/>
      <c r="K456" s="226"/>
      <c r="L456" s="226"/>
      <c r="M456" s="226"/>
      <c r="N456" s="230">
        <f>N457</f>
        <v>5.4</v>
      </c>
    </row>
    <row r="457" spans="1:14" x14ac:dyDescent="0.25">
      <c r="A457" s="223"/>
      <c r="B457" s="229"/>
      <c r="C457" s="225"/>
      <c r="D457" s="226"/>
      <c r="E457" s="226"/>
      <c r="F457" s="226">
        <v>0.6</v>
      </c>
      <c r="G457" s="226"/>
      <c r="H457" s="226"/>
      <c r="I457" s="226">
        <v>9</v>
      </c>
      <c r="J457" s="226"/>
      <c r="K457" s="226"/>
      <c r="L457" s="226"/>
      <c r="M457" s="226"/>
      <c r="N457" s="228">
        <f>F457*I457</f>
        <v>5.4</v>
      </c>
    </row>
    <row r="458" spans="1:14" x14ac:dyDescent="0.25">
      <c r="A458" s="223"/>
      <c r="B458" s="229"/>
      <c r="C458" s="225"/>
      <c r="D458" s="226"/>
      <c r="E458" s="226"/>
      <c r="F458" s="226"/>
      <c r="G458" s="226"/>
      <c r="H458" s="226"/>
      <c r="I458" s="226"/>
      <c r="J458" s="226"/>
      <c r="K458" s="226"/>
      <c r="L458" s="226"/>
      <c r="M458" s="226"/>
      <c r="N458" s="230"/>
    </row>
    <row r="459" spans="1:14" ht="51" x14ac:dyDescent="0.25">
      <c r="A459" s="223" t="s">
        <v>327</v>
      </c>
      <c r="B459" s="229" t="s">
        <v>274</v>
      </c>
      <c r="C459" s="225" t="s">
        <v>57</v>
      </c>
      <c r="D459" s="226"/>
      <c r="E459" s="226"/>
      <c r="F459" s="226"/>
      <c r="G459" s="226"/>
      <c r="H459" s="226"/>
      <c r="I459" s="226"/>
      <c r="J459" s="226"/>
      <c r="K459" s="226"/>
      <c r="L459" s="226"/>
      <c r="M459" s="226"/>
      <c r="N459" s="230">
        <f>N460</f>
        <v>9</v>
      </c>
    </row>
    <row r="460" spans="1:14" x14ac:dyDescent="0.25">
      <c r="A460" s="223"/>
      <c r="B460" s="229"/>
      <c r="C460" s="225"/>
      <c r="D460" s="226"/>
      <c r="E460" s="226"/>
      <c r="F460" s="226"/>
      <c r="G460" s="226"/>
      <c r="H460" s="226"/>
      <c r="I460" s="226">
        <v>9</v>
      </c>
      <c r="J460" s="226"/>
      <c r="K460" s="226"/>
      <c r="L460" s="226"/>
      <c r="M460" s="226"/>
      <c r="N460" s="228">
        <f>I460</f>
        <v>9</v>
      </c>
    </row>
    <row r="461" spans="1:14" x14ac:dyDescent="0.25">
      <c r="A461" s="223"/>
      <c r="B461" s="229"/>
      <c r="C461" s="225"/>
      <c r="D461" s="226"/>
      <c r="E461" s="226"/>
      <c r="F461" s="226"/>
      <c r="G461" s="226"/>
      <c r="H461" s="226"/>
      <c r="I461" s="226"/>
      <c r="J461" s="226"/>
      <c r="K461" s="226"/>
      <c r="L461" s="226"/>
      <c r="M461" s="226"/>
      <c r="N461" s="230"/>
    </row>
    <row r="462" spans="1:14" x14ac:dyDescent="0.25">
      <c r="A462" s="885" t="s">
        <v>463</v>
      </c>
      <c r="B462" s="886"/>
      <c r="C462" s="886"/>
      <c r="D462" s="886"/>
      <c r="E462" s="886"/>
      <c r="F462" s="886"/>
      <c r="G462" s="886"/>
      <c r="H462" s="886"/>
      <c r="I462" s="886"/>
      <c r="J462" s="886"/>
      <c r="K462" s="886"/>
      <c r="L462" s="886"/>
      <c r="M462" s="886"/>
      <c r="N462" s="887"/>
    </row>
    <row r="463" spans="1:14" x14ac:dyDescent="0.25">
      <c r="A463" s="232" t="s">
        <v>329</v>
      </c>
      <c r="B463" s="233" t="s">
        <v>446</v>
      </c>
      <c r="C463" s="234"/>
      <c r="D463" s="235"/>
      <c r="E463" s="235"/>
      <c r="F463" s="235"/>
      <c r="G463" s="235"/>
      <c r="H463" s="235"/>
      <c r="I463" s="235"/>
      <c r="J463" s="235"/>
      <c r="K463" s="235"/>
      <c r="L463" s="235"/>
      <c r="M463" s="235"/>
      <c r="N463" s="236"/>
    </row>
    <row r="464" spans="1:14" x14ac:dyDescent="0.25">
      <c r="A464" s="231" t="s">
        <v>330</v>
      </c>
      <c r="B464" s="224" t="s">
        <v>33</v>
      </c>
      <c r="C464" s="225"/>
      <c r="D464" s="226"/>
      <c r="E464" s="226"/>
      <c r="F464" s="226"/>
      <c r="G464" s="226"/>
      <c r="H464" s="226"/>
      <c r="I464" s="226"/>
      <c r="J464" s="226"/>
      <c r="K464" s="226"/>
      <c r="L464" s="226"/>
      <c r="M464" s="226"/>
      <c r="N464" s="230"/>
    </row>
    <row r="465" spans="1:14" ht="51" x14ac:dyDescent="0.25">
      <c r="A465" s="223" t="s">
        <v>331</v>
      </c>
      <c r="B465" s="229" t="s">
        <v>270</v>
      </c>
      <c r="C465" s="225" t="s">
        <v>34</v>
      </c>
      <c r="D465" s="226"/>
      <c r="E465" s="226"/>
      <c r="F465" s="226"/>
      <c r="G465" s="226"/>
      <c r="H465" s="226"/>
      <c r="I465" s="226"/>
      <c r="J465" s="226"/>
      <c r="K465" s="226"/>
      <c r="L465" s="226"/>
      <c r="M465" s="226"/>
      <c r="N465" s="230">
        <f>N466</f>
        <v>14</v>
      </c>
    </row>
    <row r="466" spans="1:14" x14ac:dyDescent="0.25">
      <c r="A466" s="223"/>
      <c r="B466" s="224" t="s">
        <v>279</v>
      </c>
      <c r="C466" s="225"/>
      <c r="D466" s="226"/>
      <c r="E466" s="226"/>
      <c r="F466" s="226"/>
      <c r="G466" s="226"/>
      <c r="H466" s="226"/>
      <c r="I466" s="226"/>
      <c r="J466" s="226"/>
      <c r="K466" s="226"/>
      <c r="L466" s="226"/>
      <c r="M466" s="226">
        <f>'MAPA DE CUBAÇÃO'!I205</f>
        <v>14</v>
      </c>
      <c r="N466" s="228">
        <f>M466</f>
        <v>14</v>
      </c>
    </row>
    <row r="467" spans="1:14" x14ac:dyDescent="0.25">
      <c r="A467" s="223"/>
      <c r="B467" s="229"/>
      <c r="C467" s="225"/>
      <c r="D467" s="226"/>
      <c r="E467" s="226"/>
      <c r="F467" s="226"/>
      <c r="G467" s="226"/>
      <c r="H467" s="226"/>
      <c r="I467" s="226"/>
      <c r="J467" s="226"/>
      <c r="K467" s="226"/>
      <c r="L467" s="226"/>
      <c r="M467" s="226"/>
      <c r="N467" s="230"/>
    </row>
    <row r="468" spans="1:14" ht="76.5" x14ac:dyDescent="0.25">
      <c r="A468" s="223" t="s">
        <v>332</v>
      </c>
      <c r="B468" s="229" t="s">
        <v>45</v>
      </c>
      <c r="C468" s="225" t="s">
        <v>34</v>
      </c>
      <c r="D468" s="226"/>
      <c r="E468" s="226"/>
      <c r="F468" s="226"/>
      <c r="G468" s="226"/>
      <c r="H468" s="226"/>
      <c r="I468" s="226"/>
      <c r="J468" s="226"/>
      <c r="K468" s="239" t="s">
        <v>280</v>
      </c>
      <c r="L468" s="226"/>
      <c r="M468" s="226"/>
      <c r="N468" s="230">
        <f>N469</f>
        <v>17.5</v>
      </c>
    </row>
    <row r="469" spans="1:14" x14ac:dyDescent="0.25">
      <c r="A469" s="223"/>
      <c r="B469" s="224" t="s">
        <v>279</v>
      </c>
      <c r="C469" s="225"/>
      <c r="D469" s="226"/>
      <c r="E469" s="226"/>
      <c r="F469" s="226"/>
      <c r="G469" s="226"/>
      <c r="H469" s="226"/>
      <c r="I469" s="226"/>
      <c r="J469" s="226"/>
      <c r="K469" s="238">
        <v>1.25</v>
      </c>
      <c r="L469" s="226"/>
      <c r="M469" s="226">
        <f>N466</f>
        <v>14</v>
      </c>
      <c r="N469" s="228">
        <f>K469*M469</f>
        <v>17.5</v>
      </c>
    </row>
    <row r="470" spans="1:14" x14ac:dyDescent="0.25">
      <c r="A470" s="223"/>
      <c r="B470" s="229"/>
      <c r="C470" s="225"/>
      <c r="D470" s="226"/>
      <c r="E470" s="226"/>
      <c r="F470" s="226"/>
      <c r="G470" s="226"/>
      <c r="H470" s="226"/>
      <c r="I470" s="226"/>
      <c r="J470" s="226"/>
      <c r="K470" s="226"/>
      <c r="L470" s="226"/>
      <c r="M470" s="226"/>
      <c r="N470" s="230"/>
    </row>
    <row r="471" spans="1:14" ht="63.75" x14ac:dyDescent="0.25">
      <c r="A471" s="223" t="s">
        <v>333</v>
      </c>
      <c r="B471" s="229" t="s">
        <v>35</v>
      </c>
      <c r="C471" s="225" t="s">
        <v>36</v>
      </c>
      <c r="D471" s="226"/>
      <c r="E471" s="237" t="s">
        <v>281</v>
      </c>
      <c r="F471" s="226"/>
      <c r="G471" s="226"/>
      <c r="H471" s="226"/>
      <c r="I471" s="226"/>
      <c r="J471" s="226"/>
      <c r="K471" s="315"/>
      <c r="L471" s="226"/>
      <c r="M471" s="226"/>
      <c r="N471" s="230">
        <f>N472</f>
        <v>87.5</v>
      </c>
    </row>
    <row r="472" spans="1:14" x14ac:dyDescent="0.25">
      <c r="A472" s="223"/>
      <c r="B472" s="224" t="s">
        <v>279</v>
      </c>
      <c r="C472" s="225"/>
      <c r="D472" s="226"/>
      <c r="E472" s="226">
        <v>5</v>
      </c>
      <c r="F472" s="226"/>
      <c r="G472" s="226"/>
      <c r="H472" s="226"/>
      <c r="I472" s="226"/>
      <c r="J472" s="226"/>
      <c r="K472" s="316"/>
      <c r="L472" s="226"/>
      <c r="M472" s="226">
        <f>N469</f>
        <v>17.5</v>
      </c>
      <c r="N472" s="228">
        <f>M472*E472</f>
        <v>87.5</v>
      </c>
    </row>
    <row r="473" spans="1:14" x14ac:dyDescent="0.25">
      <c r="A473" s="223"/>
      <c r="B473" s="229"/>
      <c r="C473" s="225"/>
      <c r="D473" s="226"/>
      <c r="E473" s="226"/>
      <c r="F473" s="226"/>
      <c r="G473" s="226"/>
      <c r="H473" s="226"/>
      <c r="I473" s="226"/>
      <c r="J473" s="226"/>
      <c r="K473" s="226"/>
      <c r="L473" s="226"/>
      <c r="M473" s="226"/>
      <c r="N473" s="230"/>
    </row>
    <row r="474" spans="1:14" x14ac:dyDescent="0.25">
      <c r="A474" s="231" t="s">
        <v>334</v>
      </c>
      <c r="B474" s="224" t="s">
        <v>40</v>
      </c>
      <c r="C474" s="225"/>
      <c r="D474" s="226"/>
      <c r="E474" s="226"/>
      <c r="F474" s="226"/>
      <c r="G474" s="226"/>
      <c r="H474" s="226"/>
      <c r="I474" s="226"/>
      <c r="J474" s="226"/>
      <c r="K474" s="226"/>
      <c r="L474" s="226"/>
      <c r="M474" s="226"/>
      <c r="N474" s="230"/>
    </row>
    <row r="475" spans="1:14" ht="25.5" x14ac:dyDescent="0.25">
      <c r="A475" s="223" t="s">
        <v>335</v>
      </c>
      <c r="B475" s="229" t="s">
        <v>41</v>
      </c>
      <c r="C475" s="225" t="s">
        <v>42</v>
      </c>
      <c r="D475" s="226"/>
      <c r="E475" s="226"/>
      <c r="F475" s="226"/>
      <c r="G475" s="226"/>
      <c r="H475" s="226"/>
      <c r="I475" s="226"/>
      <c r="J475" s="226"/>
      <c r="K475" s="226"/>
      <c r="L475" s="226"/>
      <c r="M475" s="226"/>
      <c r="N475" s="230">
        <f>N476</f>
        <v>1453.72</v>
      </c>
    </row>
    <row r="476" spans="1:14" x14ac:dyDescent="0.25">
      <c r="A476" s="223"/>
      <c r="B476" s="229"/>
      <c r="C476" s="225"/>
      <c r="D476" s="226"/>
      <c r="E476" s="226">
        <f>'MAPA DE CUBAÇÃO'!H247</f>
        <v>1453.72</v>
      </c>
      <c r="F476" s="226"/>
      <c r="G476" s="226"/>
      <c r="H476" s="226"/>
      <c r="I476" s="226"/>
      <c r="J476" s="226"/>
      <c r="K476" s="226"/>
      <c r="L476" s="226"/>
      <c r="M476" s="226"/>
      <c r="N476" s="228">
        <f>E476</f>
        <v>1453.72</v>
      </c>
    </row>
    <row r="477" spans="1:14" x14ac:dyDescent="0.25">
      <c r="A477" s="223"/>
      <c r="B477" s="229"/>
      <c r="C477" s="225"/>
      <c r="D477" s="226"/>
      <c r="E477" s="226"/>
      <c r="F477" s="226"/>
      <c r="G477" s="226"/>
      <c r="H477" s="226"/>
      <c r="I477" s="226"/>
      <c r="J477" s="226"/>
      <c r="K477" s="226"/>
      <c r="L477" s="226"/>
      <c r="M477" s="226"/>
      <c r="N477" s="228"/>
    </row>
    <row r="478" spans="1:14" ht="51" x14ac:dyDescent="0.25">
      <c r="A478" s="223" t="s">
        <v>336</v>
      </c>
      <c r="B478" s="229" t="s">
        <v>38</v>
      </c>
      <c r="C478" s="225" t="s">
        <v>30</v>
      </c>
      <c r="D478" s="226"/>
      <c r="E478" s="226"/>
      <c r="F478" s="226"/>
      <c r="G478" s="226"/>
      <c r="H478" s="226"/>
      <c r="I478" s="226"/>
      <c r="J478" s="226"/>
      <c r="K478" s="226"/>
      <c r="L478" s="226"/>
      <c r="M478" s="226"/>
      <c r="N478" s="230">
        <f>N479</f>
        <v>7292.03</v>
      </c>
    </row>
    <row r="479" spans="1:14" x14ac:dyDescent="0.25">
      <c r="A479" s="223"/>
      <c r="B479" s="229"/>
      <c r="C479" s="225"/>
      <c r="D479" s="226"/>
      <c r="E479" s="226"/>
      <c r="F479" s="226"/>
      <c r="G479" s="226">
        <v>7292.03</v>
      </c>
      <c r="H479" s="226"/>
      <c r="I479" s="226"/>
      <c r="J479" s="226"/>
      <c r="K479" s="226"/>
      <c r="L479" s="226"/>
      <c r="M479" s="226"/>
      <c r="N479" s="228">
        <f>G479</f>
        <v>7292.03</v>
      </c>
    </row>
    <row r="480" spans="1:14" x14ac:dyDescent="0.25">
      <c r="A480" s="223"/>
      <c r="B480" s="229"/>
      <c r="C480" s="225"/>
      <c r="D480" s="226"/>
      <c r="E480" s="226"/>
      <c r="F480" s="226"/>
      <c r="G480" s="226"/>
      <c r="H480" s="226"/>
      <c r="I480" s="226"/>
      <c r="J480" s="226"/>
      <c r="K480" s="226"/>
      <c r="L480" s="226"/>
      <c r="M480" s="226"/>
      <c r="N480" s="230"/>
    </row>
    <row r="481" spans="1:14" ht="76.5" x14ac:dyDescent="0.25">
      <c r="A481" s="223" t="s">
        <v>337</v>
      </c>
      <c r="B481" s="229" t="s">
        <v>44</v>
      </c>
      <c r="C481" s="225" t="s">
        <v>30</v>
      </c>
      <c r="D481" s="226"/>
      <c r="E481" s="226"/>
      <c r="F481" s="226"/>
      <c r="G481" s="226"/>
      <c r="H481" s="226"/>
      <c r="I481" s="226"/>
      <c r="J481" s="226"/>
      <c r="K481" s="226"/>
      <c r="L481" s="226"/>
      <c r="M481" s="226"/>
      <c r="N481" s="230">
        <f>N482</f>
        <v>7292.03</v>
      </c>
    </row>
    <row r="482" spans="1:14" x14ac:dyDescent="0.25">
      <c r="A482" s="223"/>
      <c r="B482" s="229"/>
      <c r="C482" s="225"/>
      <c r="D482" s="226"/>
      <c r="E482" s="226"/>
      <c r="F482" s="226"/>
      <c r="G482" s="226">
        <v>7292.03</v>
      </c>
      <c r="H482" s="226"/>
      <c r="I482" s="226"/>
      <c r="J482" s="226"/>
      <c r="K482" s="226"/>
      <c r="L482" s="226"/>
      <c r="M482" s="226"/>
      <c r="N482" s="228">
        <f>G482</f>
        <v>7292.03</v>
      </c>
    </row>
    <row r="483" spans="1:14" x14ac:dyDescent="0.25">
      <c r="A483" s="223"/>
      <c r="B483" s="229"/>
      <c r="C483" s="225"/>
      <c r="D483" s="226"/>
      <c r="E483" s="226"/>
      <c r="F483" s="226"/>
      <c r="G483" s="226"/>
      <c r="H483" s="226"/>
      <c r="I483" s="226"/>
      <c r="J483" s="226"/>
      <c r="K483" s="226"/>
      <c r="L483" s="226"/>
      <c r="M483" s="226"/>
      <c r="N483" s="230"/>
    </row>
    <row r="484" spans="1:14" ht="102" x14ac:dyDescent="0.25">
      <c r="A484" s="223" t="s">
        <v>338</v>
      </c>
      <c r="B484" s="229" t="s">
        <v>49</v>
      </c>
      <c r="C484" s="225" t="s">
        <v>42</v>
      </c>
      <c r="D484" s="226"/>
      <c r="E484" s="226"/>
      <c r="F484" s="226"/>
      <c r="G484" s="226"/>
      <c r="H484" s="226"/>
      <c r="I484" s="226"/>
      <c r="J484" s="226"/>
      <c r="K484" s="226"/>
      <c r="L484" s="226"/>
      <c r="M484" s="226"/>
      <c r="N484" s="230">
        <f>N485</f>
        <v>2885.29</v>
      </c>
    </row>
    <row r="485" spans="1:14" x14ac:dyDescent="0.25">
      <c r="A485" s="223"/>
      <c r="B485" s="229"/>
      <c r="C485" s="225"/>
      <c r="D485" s="226"/>
      <c r="E485" s="226">
        <v>2885.29</v>
      </c>
      <c r="F485" s="226"/>
      <c r="G485" s="226"/>
      <c r="H485" s="226"/>
      <c r="I485" s="226"/>
      <c r="J485" s="226"/>
      <c r="K485" s="226"/>
      <c r="L485" s="226"/>
      <c r="M485" s="226"/>
      <c r="N485" s="228">
        <f>E485</f>
        <v>2885.29</v>
      </c>
    </row>
    <row r="486" spans="1:14" x14ac:dyDescent="0.25">
      <c r="A486" s="223"/>
      <c r="B486" s="229"/>
      <c r="C486" s="225"/>
      <c r="D486" s="226"/>
      <c r="E486" s="226"/>
      <c r="F486" s="226"/>
      <c r="G486" s="226"/>
      <c r="H486" s="226"/>
      <c r="I486" s="226"/>
      <c r="J486" s="226"/>
      <c r="K486" s="226"/>
      <c r="L486" s="226"/>
      <c r="M486" s="226"/>
      <c r="N486" s="230"/>
    </row>
    <row r="487" spans="1:14" x14ac:dyDescent="0.25">
      <c r="A487" s="231" t="s">
        <v>339</v>
      </c>
      <c r="B487" s="224" t="s">
        <v>471</v>
      </c>
      <c r="C487" s="225"/>
      <c r="D487" s="226"/>
      <c r="E487" s="226"/>
      <c r="F487" s="226"/>
      <c r="G487" s="226"/>
      <c r="H487" s="226"/>
      <c r="I487" s="226"/>
      <c r="J487" s="226"/>
      <c r="K487" s="226"/>
      <c r="L487" s="226"/>
      <c r="M487" s="226"/>
      <c r="N487" s="230"/>
    </row>
    <row r="488" spans="1:14" x14ac:dyDescent="0.25">
      <c r="A488" s="223" t="s">
        <v>340</v>
      </c>
      <c r="B488" s="229" t="s">
        <v>48</v>
      </c>
      <c r="C488" s="225" t="s">
        <v>42</v>
      </c>
      <c r="D488" s="226"/>
      <c r="E488" s="226"/>
      <c r="F488" s="226"/>
      <c r="G488" s="226"/>
      <c r="H488" s="226"/>
      <c r="I488" s="226"/>
      <c r="J488" s="226"/>
      <c r="K488" s="226"/>
      <c r="L488" s="226"/>
      <c r="M488" s="226"/>
      <c r="N488" s="230">
        <f>N489</f>
        <v>212.44</v>
      </c>
    </row>
    <row r="489" spans="1:14" x14ac:dyDescent="0.25">
      <c r="A489" s="223"/>
      <c r="B489" s="229"/>
      <c r="C489" s="225"/>
      <c r="D489" s="226"/>
      <c r="E489" s="226">
        <f>DRENAGEM!C42</f>
        <v>212.44</v>
      </c>
      <c r="F489" s="226"/>
      <c r="G489" s="226"/>
      <c r="H489" s="226"/>
      <c r="I489" s="226"/>
      <c r="J489" s="226"/>
      <c r="K489" s="226"/>
      <c r="L489" s="226"/>
      <c r="M489" s="226"/>
      <c r="N489" s="228">
        <f>E489</f>
        <v>212.44</v>
      </c>
    </row>
    <row r="490" spans="1:14" x14ac:dyDescent="0.25">
      <c r="A490" s="223"/>
      <c r="B490" s="229"/>
      <c r="C490" s="225"/>
      <c r="D490" s="226"/>
      <c r="E490" s="226"/>
      <c r="F490" s="226"/>
      <c r="G490" s="226"/>
      <c r="H490" s="226"/>
      <c r="I490" s="226"/>
      <c r="J490" s="226"/>
      <c r="K490" s="226"/>
      <c r="L490" s="226"/>
      <c r="M490" s="226"/>
      <c r="N490" s="230"/>
    </row>
    <row r="491" spans="1:14" ht="102" x14ac:dyDescent="0.25">
      <c r="A491" s="223" t="s">
        <v>341</v>
      </c>
      <c r="B491" s="229" t="s">
        <v>50</v>
      </c>
      <c r="C491" s="225" t="s">
        <v>34</v>
      </c>
      <c r="D491" s="226"/>
      <c r="E491" s="226"/>
      <c r="F491" s="226"/>
      <c r="G491" s="226"/>
      <c r="H491" s="226"/>
      <c r="I491" s="226"/>
      <c r="J491" s="226"/>
      <c r="K491" s="226"/>
      <c r="L491" s="226"/>
      <c r="M491" s="226"/>
      <c r="N491" s="230">
        <f>N492</f>
        <v>477.99</v>
      </c>
    </row>
    <row r="492" spans="1:14" x14ac:dyDescent="0.25">
      <c r="A492" s="223"/>
      <c r="B492" s="229"/>
      <c r="C492" s="225"/>
      <c r="D492" s="226"/>
      <c r="E492" s="226"/>
      <c r="F492" s="226"/>
      <c r="G492" s="226"/>
      <c r="H492" s="226"/>
      <c r="I492" s="226"/>
      <c r="J492" s="226"/>
      <c r="K492" s="226"/>
      <c r="L492" s="226"/>
      <c r="M492" s="226">
        <f>DRENAGEM!U42</f>
        <v>477.99</v>
      </c>
      <c r="N492" s="228">
        <f>M492</f>
        <v>477.99</v>
      </c>
    </row>
    <row r="493" spans="1:14" x14ac:dyDescent="0.25">
      <c r="A493" s="223"/>
      <c r="B493" s="229"/>
      <c r="C493" s="225"/>
      <c r="D493" s="226"/>
      <c r="E493" s="226"/>
      <c r="F493" s="226"/>
      <c r="G493" s="226"/>
      <c r="H493" s="226"/>
      <c r="I493" s="226"/>
      <c r="J493" s="226"/>
      <c r="K493" s="226"/>
      <c r="L493" s="226"/>
      <c r="M493" s="226"/>
      <c r="N493" s="230"/>
    </row>
    <row r="494" spans="1:14" ht="114.75" x14ac:dyDescent="0.25">
      <c r="A494" s="223" t="s">
        <v>342</v>
      </c>
      <c r="B494" s="229" t="s">
        <v>51</v>
      </c>
      <c r="C494" s="225" t="s">
        <v>34</v>
      </c>
      <c r="D494" s="226"/>
      <c r="E494" s="226"/>
      <c r="F494" s="226"/>
      <c r="G494" s="226"/>
      <c r="H494" s="226"/>
      <c r="I494" s="226"/>
      <c r="J494" s="226"/>
      <c r="K494" s="226"/>
      <c r="L494" s="226"/>
      <c r="M494" s="226"/>
      <c r="N494" s="230">
        <f>N495</f>
        <v>279.38</v>
      </c>
    </row>
    <row r="495" spans="1:14" x14ac:dyDescent="0.25">
      <c r="A495" s="223"/>
      <c r="B495" s="229"/>
      <c r="C495" s="225"/>
      <c r="D495" s="226"/>
      <c r="E495" s="226"/>
      <c r="F495" s="226"/>
      <c r="G495" s="226"/>
      <c r="H495" s="226"/>
      <c r="I495" s="226"/>
      <c r="J495" s="226"/>
      <c r="K495" s="226"/>
      <c r="L495" s="226"/>
      <c r="M495" s="226">
        <f>DRENAGEM!V42</f>
        <v>279.38</v>
      </c>
      <c r="N495" s="228">
        <f>M495</f>
        <v>279.38</v>
      </c>
    </row>
    <row r="496" spans="1:14" x14ac:dyDescent="0.25">
      <c r="A496" s="223"/>
      <c r="B496" s="229"/>
      <c r="C496" s="225"/>
      <c r="D496" s="226"/>
      <c r="E496" s="226"/>
      <c r="F496" s="226"/>
      <c r="G496" s="226"/>
      <c r="H496" s="226"/>
      <c r="I496" s="226"/>
      <c r="J496" s="226"/>
      <c r="K496" s="226"/>
      <c r="L496" s="226"/>
      <c r="M496" s="226"/>
      <c r="N496" s="230"/>
    </row>
    <row r="497" spans="1:14" x14ac:dyDescent="0.25">
      <c r="A497" s="223"/>
      <c r="B497" s="229"/>
      <c r="C497" s="225"/>
      <c r="D497" s="226"/>
      <c r="E497" s="226"/>
      <c r="F497" s="226"/>
      <c r="G497" s="226"/>
      <c r="H497" s="226"/>
      <c r="I497" s="226"/>
      <c r="J497" s="226"/>
      <c r="K497" s="226"/>
      <c r="L497" s="226"/>
      <c r="M497" s="226"/>
      <c r="N497" s="230"/>
    </row>
    <row r="498" spans="1:14" ht="89.25" x14ac:dyDescent="0.25">
      <c r="A498" s="223" t="s">
        <v>343</v>
      </c>
      <c r="B498" s="229" t="s">
        <v>266</v>
      </c>
      <c r="C498" s="225" t="s">
        <v>42</v>
      </c>
      <c r="D498" s="226"/>
      <c r="E498" s="226"/>
      <c r="F498" s="226"/>
      <c r="G498" s="226"/>
      <c r="H498" s="226"/>
      <c r="I498" s="226"/>
      <c r="J498" s="226"/>
      <c r="K498" s="226"/>
      <c r="L498" s="226"/>
      <c r="M498" s="226"/>
      <c r="N498" s="230">
        <f>N499</f>
        <v>212.44</v>
      </c>
    </row>
    <row r="499" spans="1:14" x14ac:dyDescent="0.25">
      <c r="A499" s="223"/>
      <c r="B499" s="229"/>
      <c r="C499" s="225"/>
      <c r="D499" s="226"/>
      <c r="E499" s="226">
        <f>DRENAGEM!C42</f>
        <v>212.44</v>
      </c>
      <c r="F499" s="226"/>
      <c r="G499" s="226"/>
      <c r="H499" s="226"/>
      <c r="I499" s="226"/>
      <c r="J499" s="226"/>
      <c r="K499" s="226"/>
      <c r="L499" s="226"/>
      <c r="M499" s="226"/>
      <c r="N499" s="228">
        <f>E499</f>
        <v>212.44</v>
      </c>
    </row>
    <row r="500" spans="1:14" x14ac:dyDescent="0.25">
      <c r="A500" s="223"/>
      <c r="B500" s="229"/>
      <c r="C500" s="225"/>
      <c r="D500" s="226"/>
      <c r="E500" s="226"/>
      <c r="F500" s="226"/>
      <c r="G500" s="226"/>
      <c r="H500" s="226"/>
      <c r="I500" s="226"/>
      <c r="J500" s="226"/>
      <c r="K500" s="226"/>
      <c r="L500" s="226"/>
      <c r="M500" s="226"/>
      <c r="N500" s="230"/>
    </row>
    <row r="501" spans="1:14" ht="63.75" x14ac:dyDescent="0.25">
      <c r="A501" s="223" t="s">
        <v>344</v>
      </c>
      <c r="B501" s="229" t="s">
        <v>53</v>
      </c>
      <c r="C501" s="225" t="s">
        <v>30</v>
      </c>
      <c r="D501" s="226"/>
      <c r="E501" s="226"/>
      <c r="F501" s="226"/>
      <c r="G501" s="226"/>
      <c r="H501" s="226"/>
      <c r="I501" s="226"/>
      <c r="J501" s="226"/>
      <c r="K501" s="226"/>
      <c r="L501" s="226"/>
      <c r="M501" s="226"/>
      <c r="N501" s="230">
        <f>N502</f>
        <v>47.86</v>
      </c>
    </row>
    <row r="502" spans="1:14" x14ac:dyDescent="0.25">
      <c r="A502" s="223"/>
      <c r="B502" s="229"/>
      <c r="C502" s="225"/>
      <c r="D502" s="226"/>
      <c r="E502" s="226"/>
      <c r="F502" s="226"/>
      <c r="G502" s="226"/>
      <c r="H502" s="226"/>
      <c r="I502" s="226"/>
      <c r="J502" s="226"/>
      <c r="K502" s="226"/>
      <c r="L502" s="226"/>
      <c r="M502" s="226">
        <f>DRENAGEM!X42</f>
        <v>47.86</v>
      </c>
      <c r="N502" s="228">
        <f>M502</f>
        <v>47.86</v>
      </c>
    </row>
    <row r="503" spans="1:14" x14ac:dyDescent="0.25">
      <c r="A503" s="223"/>
      <c r="B503" s="229"/>
      <c r="C503" s="225"/>
      <c r="D503" s="226"/>
      <c r="E503" s="226"/>
      <c r="F503" s="226"/>
      <c r="G503" s="226"/>
      <c r="H503" s="226"/>
      <c r="I503" s="226"/>
      <c r="J503" s="226"/>
      <c r="K503" s="226"/>
      <c r="L503" s="226"/>
      <c r="M503" s="226"/>
      <c r="N503" s="230"/>
    </row>
    <row r="504" spans="1:14" ht="38.25" x14ac:dyDescent="0.25">
      <c r="A504" s="223" t="s">
        <v>345</v>
      </c>
      <c r="B504" s="229" t="s">
        <v>271</v>
      </c>
      <c r="C504" s="225" t="s">
        <v>34</v>
      </c>
      <c r="D504" s="226"/>
      <c r="E504" s="226"/>
      <c r="F504" s="226"/>
      <c r="G504" s="226"/>
      <c r="H504" s="226"/>
      <c r="I504" s="226"/>
      <c r="J504" s="226"/>
      <c r="K504" s="226"/>
      <c r="L504" s="226"/>
      <c r="M504" s="226"/>
      <c r="N504" s="230">
        <f>N505</f>
        <v>667.74</v>
      </c>
    </row>
    <row r="505" spans="1:14" x14ac:dyDescent="0.25">
      <c r="A505" s="223"/>
      <c r="B505" s="229"/>
      <c r="C505" s="225"/>
      <c r="D505" s="226"/>
      <c r="E505" s="226"/>
      <c r="F505" s="226"/>
      <c r="G505" s="226"/>
      <c r="H505" s="226"/>
      <c r="I505" s="226"/>
      <c r="J505" s="226"/>
      <c r="K505" s="226"/>
      <c r="L505" s="226"/>
      <c r="M505" s="226">
        <f>DRENAGEM!W42</f>
        <v>667.74</v>
      </c>
      <c r="N505" s="228">
        <f>M505</f>
        <v>667.74</v>
      </c>
    </row>
    <row r="506" spans="1:14" x14ac:dyDescent="0.25">
      <c r="A506" s="223"/>
      <c r="B506" s="229"/>
      <c r="C506" s="225"/>
      <c r="D506" s="226"/>
      <c r="E506" s="226"/>
      <c r="F506" s="226"/>
      <c r="G506" s="226"/>
      <c r="H506" s="226"/>
      <c r="I506" s="226"/>
      <c r="J506" s="226"/>
      <c r="K506" s="226"/>
      <c r="L506" s="226"/>
      <c r="M506" s="226"/>
      <c r="N506" s="230"/>
    </row>
    <row r="507" spans="1:14" ht="76.5" x14ac:dyDescent="0.25">
      <c r="A507" s="223" t="s">
        <v>346</v>
      </c>
      <c r="B507" s="229" t="s">
        <v>45</v>
      </c>
      <c r="C507" s="225" t="s">
        <v>34</v>
      </c>
      <c r="D507" s="226"/>
      <c r="E507" s="226"/>
      <c r="F507" s="226"/>
      <c r="G507" s="226"/>
      <c r="H507" s="226"/>
      <c r="I507" s="226"/>
      <c r="J507" s="226"/>
      <c r="K507" s="226"/>
      <c r="L507" s="226"/>
      <c r="M507" s="226"/>
      <c r="N507" s="230">
        <f>N508</f>
        <v>89.63</v>
      </c>
    </row>
    <row r="508" spans="1:14" x14ac:dyDescent="0.25">
      <c r="A508" s="223"/>
      <c r="B508" s="229"/>
      <c r="C508" s="225"/>
      <c r="D508" s="226"/>
      <c r="E508" s="226"/>
      <c r="F508" s="226"/>
      <c r="G508" s="226"/>
      <c r="H508" s="226"/>
      <c r="I508" s="226"/>
      <c r="J508" s="226"/>
      <c r="K508" s="226"/>
      <c r="L508" s="226"/>
      <c r="M508" s="226">
        <f>DRENAGEM!Y42</f>
        <v>89.63</v>
      </c>
      <c r="N508" s="228">
        <f>M508</f>
        <v>89.63</v>
      </c>
    </row>
    <row r="509" spans="1:14" x14ac:dyDescent="0.25">
      <c r="A509" s="223"/>
      <c r="B509" s="229"/>
      <c r="C509" s="225"/>
      <c r="D509" s="226"/>
      <c r="E509" s="226"/>
      <c r="F509" s="226"/>
      <c r="G509" s="226"/>
      <c r="H509" s="226"/>
      <c r="I509" s="226"/>
      <c r="J509" s="226"/>
      <c r="K509" s="226"/>
      <c r="L509" s="226"/>
      <c r="M509" s="226"/>
      <c r="N509" s="230"/>
    </row>
    <row r="510" spans="1:14" ht="38.25" x14ac:dyDescent="0.25">
      <c r="A510" s="223" t="s">
        <v>347</v>
      </c>
      <c r="B510" s="229" t="s">
        <v>54</v>
      </c>
      <c r="C510" s="225" t="s">
        <v>55</v>
      </c>
      <c r="D510" s="226"/>
      <c r="E510" s="237" t="s">
        <v>281</v>
      </c>
      <c r="F510" s="226"/>
      <c r="G510" s="226"/>
      <c r="H510" s="226"/>
      <c r="I510" s="226"/>
      <c r="J510" s="226"/>
      <c r="K510" s="239" t="s">
        <v>280</v>
      </c>
      <c r="L510" s="226"/>
      <c r="M510" s="226"/>
      <c r="N510" s="230">
        <f>N511</f>
        <v>560.19000000000005</v>
      </c>
    </row>
    <row r="511" spans="1:14" x14ac:dyDescent="0.25">
      <c r="A511" s="223"/>
      <c r="B511" s="229"/>
      <c r="C511" s="225"/>
      <c r="D511" s="226"/>
      <c r="E511" s="226">
        <v>5</v>
      </c>
      <c r="F511" s="226"/>
      <c r="G511" s="226"/>
      <c r="H511" s="226"/>
      <c r="I511" s="226"/>
      <c r="J511" s="226"/>
      <c r="K511" s="238">
        <v>1.25</v>
      </c>
      <c r="L511" s="226"/>
      <c r="M511" s="226">
        <f>M508</f>
        <v>89.63</v>
      </c>
      <c r="N511" s="228">
        <f>E511*K511*M511</f>
        <v>560.19000000000005</v>
      </c>
    </row>
    <row r="512" spans="1:14" x14ac:dyDescent="0.25">
      <c r="A512" s="223"/>
      <c r="B512" s="229"/>
      <c r="C512" s="225"/>
      <c r="D512" s="226"/>
      <c r="E512" s="226"/>
      <c r="F512" s="226"/>
      <c r="G512" s="226"/>
      <c r="H512" s="226"/>
      <c r="I512" s="226"/>
      <c r="J512" s="226"/>
      <c r="K512" s="226"/>
      <c r="L512" s="226"/>
      <c r="M512" s="226"/>
      <c r="N512" s="230"/>
    </row>
    <row r="513" spans="1:14" ht="63.75" x14ac:dyDescent="0.25">
      <c r="A513" s="223" t="s">
        <v>626</v>
      </c>
      <c r="B513" s="229" t="s">
        <v>275</v>
      </c>
      <c r="C513" s="225" t="s">
        <v>30</v>
      </c>
      <c r="D513" s="226"/>
      <c r="E513" s="226"/>
      <c r="F513" s="226"/>
      <c r="G513" s="226"/>
      <c r="H513" s="226"/>
      <c r="I513" s="226"/>
      <c r="J513" s="226"/>
      <c r="K513" s="226"/>
      <c r="L513" s="226"/>
      <c r="M513" s="226"/>
      <c r="N513" s="230">
        <f>N514</f>
        <v>946.12</v>
      </c>
    </row>
    <row r="514" spans="1:14" x14ac:dyDescent="0.25">
      <c r="A514" s="223"/>
      <c r="B514" s="229"/>
      <c r="C514" s="225"/>
      <c r="D514" s="226"/>
      <c r="E514" s="226"/>
      <c r="F514" s="226"/>
      <c r="G514" s="226">
        <f>DRENAGEM!Z42</f>
        <v>946.12</v>
      </c>
      <c r="H514" s="226"/>
      <c r="I514" s="226"/>
      <c r="J514" s="226"/>
      <c r="K514" s="226"/>
      <c r="L514" s="226"/>
      <c r="M514" s="226"/>
      <c r="N514" s="228">
        <f>G514</f>
        <v>946.12</v>
      </c>
    </row>
    <row r="515" spans="1:14" x14ac:dyDescent="0.25">
      <c r="A515" s="223"/>
      <c r="B515" s="229"/>
      <c r="C515" s="225"/>
      <c r="D515" s="226"/>
      <c r="E515" s="226"/>
      <c r="F515" s="226"/>
      <c r="G515" s="226"/>
      <c r="H515" s="226"/>
      <c r="I515" s="226"/>
      <c r="J515" s="226"/>
      <c r="K515" s="226"/>
      <c r="L515" s="226"/>
      <c r="M515" s="226"/>
      <c r="N515" s="230"/>
    </row>
    <row r="516" spans="1:14" ht="63.75" x14ac:dyDescent="0.25">
      <c r="A516" s="223" t="s">
        <v>564</v>
      </c>
      <c r="B516" s="229" t="s">
        <v>58</v>
      </c>
      <c r="C516" s="225" t="s">
        <v>42</v>
      </c>
      <c r="D516" s="226"/>
      <c r="E516" s="226"/>
      <c r="F516" s="226"/>
      <c r="G516" s="226"/>
      <c r="H516" s="226"/>
      <c r="I516" s="226"/>
      <c r="J516" s="226"/>
      <c r="K516" s="226"/>
      <c r="L516" s="226"/>
      <c r="M516" s="226"/>
      <c r="N516" s="230">
        <f>N517</f>
        <v>13.2</v>
      </c>
    </row>
    <row r="517" spans="1:14" x14ac:dyDescent="0.25">
      <c r="A517" s="223"/>
      <c r="B517" s="229"/>
      <c r="C517" s="225"/>
      <c r="D517" s="226"/>
      <c r="E517" s="226"/>
      <c r="F517" s="226">
        <v>0.6</v>
      </c>
      <c r="G517" s="226"/>
      <c r="H517" s="226"/>
      <c r="I517" s="226">
        <v>22</v>
      </c>
      <c r="J517" s="226"/>
      <c r="K517" s="226"/>
      <c r="L517" s="226"/>
      <c r="M517" s="226"/>
      <c r="N517" s="228">
        <f>F517*I517</f>
        <v>13.2</v>
      </c>
    </row>
    <row r="518" spans="1:14" x14ac:dyDescent="0.25">
      <c r="A518" s="223"/>
      <c r="B518" s="229"/>
      <c r="C518" s="225"/>
      <c r="D518" s="226"/>
      <c r="E518" s="226"/>
      <c r="F518" s="226"/>
      <c r="G518" s="226"/>
      <c r="H518" s="226"/>
      <c r="I518" s="226"/>
      <c r="J518" s="226"/>
      <c r="K518" s="226"/>
      <c r="L518" s="226"/>
      <c r="M518" s="226"/>
      <c r="N518" s="230"/>
    </row>
    <row r="519" spans="1:14" ht="63.75" x14ac:dyDescent="0.25">
      <c r="A519" s="223" t="s">
        <v>565</v>
      </c>
      <c r="B519" s="229" t="s">
        <v>273</v>
      </c>
      <c r="C519" s="225" t="s">
        <v>57</v>
      </c>
      <c r="D519" s="226"/>
      <c r="E519" s="226"/>
      <c r="F519" s="226"/>
      <c r="G519" s="226"/>
      <c r="H519" s="226"/>
      <c r="I519" s="226"/>
      <c r="J519" s="226"/>
      <c r="K519" s="226"/>
      <c r="L519" s="226"/>
      <c r="M519" s="226"/>
      <c r="N519" s="230">
        <f>N520</f>
        <v>8</v>
      </c>
    </row>
    <row r="520" spans="1:14" x14ac:dyDescent="0.25">
      <c r="A520" s="223"/>
      <c r="B520" s="229"/>
      <c r="C520" s="225"/>
      <c r="D520" s="226"/>
      <c r="E520" s="226"/>
      <c r="F520" s="226"/>
      <c r="G520" s="226"/>
      <c r="H520" s="226"/>
      <c r="I520" s="226">
        <v>8</v>
      </c>
      <c r="J520" s="226"/>
      <c r="K520" s="226"/>
      <c r="L520" s="226"/>
      <c r="M520" s="226"/>
      <c r="N520" s="228">
        <f>I520</f>
        <v>8</v>
      </c>
    </row>
    <row r="521" spans="1:14" x14ac:dyDescent="0.25">
      <c r="A521" s="223"/>
      <c r="B521" s="229"/>
      <c r="C521" s="225"/>
      <c r="D521" s="226"/>
      <c r="E521" s="226"/>
      <c r="F521" s="226"/>
      <c r="G521" s="226"/>
      <c r="H521" s="226"/>
      <c r="I521" s="226"/>
      <c r="J521" s="226"/>
      <c r="K521" s="226"/>
      <c r="L521" s="226"/>
      <c r="M521" s="226"/>
      <c r="N521" s="230"/>
    </row>
    <row r="522" spans="1:14" ht="63.75" x14ac:dyDescent="0.25">
      <c r="A522" s="223" t="s">
        <v>566</v>
      </c>
      <c r="B522" s="229" t="s">
        <v>445</v>
      </c>
      <c r="C522" s="225" t="s">
        <v>57</v>
      </c>
      <c r="D522" s="226"/>
      <c r="E522" s="226"/>
      <c r="F522" s="226"/>
      <c r="G522" s="226"/>
      <c r="H522" s="226"/>
      <c r="I522" s="226"/>
      <c r="J522" s="226"/>
      <c r="K522" s="226"/>
      <c r="L522" s="226"/>
      <c r="M522" s="226"/>
      <c r="N522" s="230">
        <f>N523</f>
        <v>34</v>
      </c>
    </row>
    <row r="523" spans="1:14" x14ac:dyDescent="0.25">
      <c r="A523" s="223"/>
      <c r="B523" s="229"/>
      <c r="C523" s="225"/>
      <c r="D523" s="226"/>
      <c r="E523" s="226"/>
      <c r="F523" s="226"/>
      <c r="G523" s="226"/>
      <c r="H523" s="226"/>
      <c r="I523" s="226">
        <v>34</v>
      </c>
      <c r="J523" s="226"/>
      <c r="K523" s="226"/>
      <c r="L523" s="226"/>
      <c r="M523" s="226"/>
      <c r="N523" s="228">
        <f>I523</f>
        <v>34</v>
      </c>
    </row>
    <row r="524" spans="1:14" x14ac:dyDescent="0.25">
      <c r="A524" s="223"/>
      <c r="B524" s="229"/>
      <c r="C524" s="225"/>
      <c r="D524" s="226"/>
      <c r="E524" s="226"/>
      <c r="F524" s="226"/>
      <c r="G524" s="226"/>
      <c r="H524" s="226"/>
      <c r="I524" s="226"/>
      <c r="J524" s="226"/>
      <c r="K524" s="226"/>
      <c r="L524" s="226"/>
      <c r="M524" s="226"/>
      <c r="N524" s="230"/>
    </row>
    <row r="525" spans="1:14" ht="51" x14ac:dyDescent="0.25">
      <c r="A525" s="223" t="s">
        <v>567</v>
      </c>
      <c r="B525" s="229" t="s">
        <v>274</v>
      </c>
      <c r="C525" s="225" t="s">
        <v>57</v>
      </c>
      <c r="D525" s="226"/>
      <c r="E525" s="226"/>
      <c r="F525" s="226"/>
      <c r="G525" s="226"/>
      <c r="H525" s="226"/>
      <c r="I525" s="226"/>
      <c r="J525" s="226"/>
      <c r="K525" s="226"/>
      <c r="L525" s="226"/>
      <c r="M525" s="226"/>
      <c r="N525" s="230">
        <f>N526</f>
        <v>22</v>
      </c>
    </row>
    <row r="526" spans="1:14" x14ac:dyDescent="0.25">
      <c r="A526" s="223"/>
      <c r="B526" s="229"/>
      <c r="C526" s="225"/>
      <c r="D526" s="226"/>
      <c r="E526" s="226"/>
      <c r="F526" s="226"/>
      <c r="G526" s="226"/>
      <c r="H526" s="226"/>
      <c r="I526" s="226">
        <v>22</v>
      </c>
      <c r="J526" s="226"/>
      <c r="K526" s="226"/>
      <c r="L526" s="226"/>
      <c r="M526" s="226"/>
      <c r="N526" s="228">
        <f>I526</f>
        <v>22</v>
      </c>
    </row>
    <row r="527" spans="1:14" x14ac:dyDescent="0.25">
      <c r="A527" s="223"/>
      <c r="B527" s="229"/>
      <c r="C527" s="225"/>
      <c r="D527" s="226"/>
      <c r="E527" s="226"/>
      <c r="F527" s="226"/>
      <c r="G527" s="226"/>
      <c r="H527" s="226"/>
      <c r="I527" s="226"/>
      <c r="J527" s="226"/>
      <c r="K527" s="226"/>
      <c r="L527" s="226"/>
      <c r="M527" s="226"/>
      <c r="N527" s="230"/>
    </row>
    <row r="528" spans="1:14" x14ac:dyDescent="0.25">
      <c r="A528" s="885" t="s">
        <v>465</v>
      </c>
      <c r="B528" s="886"/>
      <c r="C528" s="886"/>
      <c r="D528" s="886"/>
      <c r="E528" s="886"/>
      <c r="F528" s="886"/>
      <c r="G528" s="886"/>
      <c r="H528" s="886"/>
      <c r="I528" s="886"/>
      <c r="J528" s="886"/>
      <c r="K528" s="886"/>
      <c r="L528" s="886"/>
      <c r="M528" s="886"/>
      <c r="N528" s="887"/>
    </row>
    <row r="529" spans="1:14" x14ac:dyDescent="0.25">
      <c r="A529" s="232" t="s">
        <v>348</v>
      </c>
      <c r="B529" s="233" t="s">
        <v>457</v>
      </c>
      <c r="C529" s="234"/>
      <c r="D529" s="235"/>
      <c r="E529" s="235"/>
      <c r="F529" s="235"/>
      <c r="G529" s="235"/>
      <c r="H529" s="235"/>
      <c r="I529" s="235"/>
      <c r="J529" s="235"/>
      <c r="K529" s="235"/>
      <c r="L529" s="235"/>
      <c r="M529" s="235"/>
      <c r="N529" s="236"/>
    </row>
    <row r="530" spans="1:14" x14ac:dyDescent="0.25">
      <c r="A530" s="231" t="s">
        <v>349</v>
      </c>
      <c r="B530" s="224" t="s">
        <v>33</v>
      </c>
      <c r="C530" s="225"/>
      <c r="D530" s="226"/>
      <c r="E530" s="226"/>
      <c r="F530" s="226"/>
      <c r="G530" s="226"/>
      <c r="H530" s="226"/>
      <c r="I530" s="226"/>
      <c r="J530" s="226"/>
      <c r="K530" s="226"/>
      <c r="L530" s="226"/>
      <c r="M530" s="226"/>
      <c r="N530" s="230"/>
    </row>
    <row r="531" spans="1:14" ht="51" x14ac:dyDescent="0.25">
      <c r="A531" s="223" t="s">
        <v>350</v>
      </c>
      <c r="B531" s="229" t="s">
        <v>270</v>
      </c>
      <c r="C531" s="225" t="s">
        <v>34</v>
      </c>
      <c r="D531" s="226"/>
      <c r="E531" s="226"/>
      <c r="F531" s="226"/>
      <c r="G531" s="226"/>
      <c r="H531" s="226"/>
      <c r="I531" s="226"/>
      <c r="J531" s="226"/>
      <c r="K531" s="226"/>
      <c r="L531" s="226"/>
      <c r="M531" s="226"/>
      <c r="N531" s="230">
        <f>N532</f>
        <v>14</v>
      </c>
    </row>
    <row r="532" spans="1:14" x14ac:dyDescent="0.25">
      <c r="A532" s="223"/>
      <c r="B532" s="224" t="s">
        <v>279</v>
      </c>
      <c r="C532" s="225"/>
      <c r="D532" s="226"/>
      <c r="E532" s="226"/>
      <c r="F532" s="226"/>
      <c r="G532" s="226"/>
      <c r="H532" s="226"/>
      <c r="I532" s="226"/>
      <c r="J532" s="226"/>
      <c r="K532" s="226"/>
      <c r="L532" s="226"/>
      <c r="M532" s="226">
        <f>'MAPA DE CUBAÇÃO'!I269</f>
        <v>14</v>
      </c>
      <c r="N532" s="228">
        <f>M532</f>
        <v>14</v>
      </c>
    </row>
    <row r="533" spans="1:14" x14ac:dyDescent="0.25">
      <c r="A533" s="223"/>
      <c r="B533" s="229"/>
      <c r="C533" s="225"/>
      <c r="D533" s="226"/>
      <c r="E533" s="226"/>
      <c r="F533" s="226"/>
      <c r="G533" s="226"/>
      <c r="H533" s="226"/>
      <c r="I533" s="226"/>
      <c r="J533" s="226"/>
      <c r="K533" s="226"/>
      <c r="L533" s="226"/>
      <c r="M533" s="226"/>
      <c r="N533" s="230"/>
    </row>
    <row r="534" spans="1:14" ht="76.5" x14ac:dyDescent="0.25">
      <c r="A534" s="223" t="s">
        <v>351</v>
      </c>
      <c r="B534" s="229" t="s">
        <v>45</v>
      </c>
      <c r="C534" s="225" t="s">
        <v>34</v>
      </c>
      <c r="D534" s="226"/>
      <c r="E534" s="226"/>
      <c r="F534" s="226"/>
      <c r="G534" s="226"/>
      <c r="H534" s="226"/>
      <c r="I534" s="226"/>
      <c r="J534" s="226"/>
      <c r="K534" s="239" t="s">
        <v>280</v>
      </c>
      <c r="L534" s="226"/>
      <c r="M534" s="226"/>
      <c r="N534" s="230">
        <f>N535</f>
        <v>17.5</v>
      </c>
    </row>
    <row r="535" spans="1:14" x14ac:dyDescent="0.25">
      <c r="A535" s="223"/>
      <c r="B535" s="224" t="s">
        <v>279</v>
      </c>
      <c r="C535" s="225"/>
      <c r="D535" s="226"/>
      <c r="E535" s="226"/>
      <c r="F535" s="226"/>
      <c r="G535" s="226"/>
      <c r="H535" s="226"/>
      <c r="I535" s="226"/>
      <c r="J535" s="226"/>
      <c r="K535" s="238">
        <v>1.25</v>
      </c>
      <c r="L535" s="226"/>
      <c r="M535" s="226">
        <f>N532</f>
        <v>14</v>
      </c>
      <c r="N535" s="228">
        <f>K535*M535</f>
        <v>17.5</v>
      </c>
    </row>
    <row r="536" spans="1:14" x14ac:dyDescent="0.25">
      <c r="A536" s="223"/>
      <c r="B536" s="229"/>
      <c r="C536" s="225"/>
      <c r="D536" s="226"/>
      <c r="E536" s="226"/>
      <c r="F536" s="226"/>
      <c r="G536" s="226"/>
      <c r="H536" s="226"/>
      <c r="I536" s="226"/>
      <c r="J536" s="226"/>
      <c r="K536" s="226"/>
      <c r="L536" s="226"/>
      <c r="M536" s="226"/>
      <c r="N536" s="230"/>
    </row>
    <row r="537" spans="1:14" ht="63.75" x14ac:dyDescent="0.25">
      <c r="A537" s="223" t="s">
        <v>352</v>
      </c>
      <c r="B537" s="229" t="s">
        <v>35</v>
      </c>
      <c r="C537" s="225" t="s">
        <v>36</v>
      </c>
      <c r="D537" s="226"/>
      <c r="E537" s="237" t="s">
        <v>281</v>
      </c>
      <c r="F537" s="226"/>
      <c r="G537" s="226"/>
      <c r="H537" s="226"/>
      <c r="I537" s="226"/>
      <c r="J537" s="226"/>
      <c r="K537" s="315"/>
      <c r="L537" s="226"/>
      <c r="M537" s="226"/>
      <c r="N537" s="230">
        <f>N538</f>
        <v>87.5</v>
      </c>
    </row>
    <row r="538" spans="1:14" x14ac:dyDescent="0.25">
      <c r="A538" s="223"/>
      <c r="B538" s="224" t="s">
        <v>279</v>
      </c>
      <c r="C538" s="225"/>
      <c r="D538" s="226"/>
      <c r="E538" s="226">
        <v>5</v>
      </c>
      <c r="F538" s="226"/>
      <c r="G538" s="226"/>
      <c r="H538" s="226"/>
      <c r="I538" s="226"/>
      <c r="J538" s="226"/>
      <c r="K538" s="316"/>
      <c r="L538" s="226"/>
      <c r="M538" s="226">
        <f>N535</f>
        <v>17.5</v>
      </c>
      <c r="N538" s="228">
        <f>M538*E538</f>
        <v>87.5</v>
      </c>
    </row>
    <row r="539" spans="1:14" x14ac:dyDescent="0.25">
      <c r="A539" s="223"/>
      <c r="B539" s="229"/>
      <c r="C539" s="225"/>
      <c r="D539" s="226"/>
      <c r="E539" s="226"/>
      <c r="F539" s="226"/>
      <c r="G539" s="226"/>
      <c r="H539" s="226"/>
      <c r="I539" s="226"/>
      <c r="J539" s="226"/>
      <c r="K539" s="226"/>
      <c r="L539" s="226"/>
      <c r="M539" s="226"/>
      <c r="N539" s="230"/>
    </row>
    <row r="540" spans="1:14" x14ac:dyDescent="0.25">
      <c r="A540" s="231" t="s">
        <v>353</v>
      </c>
      <c r="B540" s="224" t="s">
        <v>40</v>
      </c>
      <c r="C540" s="225"/>
      <c r="D540" s="226"/>
      <c r="E540" s="226"/>
      <c r="F540" s="226"/>
      <c r="G540" s="226"/>
      <c r="H540" s="226"/>
      <c r="I540" s="226"/>
      <c r="J540" s="226"/>
      <c r="K540" s="226"/>
      <c r="L540" s="226"/>
      <c r="M540" s="226"/>
      <c r="N540" s="230"/>
    </row>
    <row r="541" spans="1:14" ht="25.5" x14ac:dyDescent="0.25">
      <c r="A541" s="223" t="s">
        <v>354</v>
      </c>
      <c r="B541" s="229" t="s">
        <v>41</v>
      </c>
      <c r="C541" s="225" t="s">
        <v>42</v>
      </c>
      <c r="D541" s="226"/>
      <c r="E541" s="226"/>
      <c r="F541" s="226"/>
      <c r="G541" s="226"/>
      <c r="H541" s="226"/>
      <c r="I541" s="226"/>
      <c r="J541" s="226"/>
      <c r="K541" s="226"/>
      <c r="L541" s="226"/>
      <c r="M541" s="226"/>
      <c r="N541" s="230">
        <f>N542</f>
        <v>247.66</v>
      </c>
    </row>
    <row r="542" spans="1:14" x14ac:dyDescent="0.25">
      <c r="A542" s="223"/>
      <c r="B542" s="229"/>
      <c r="C542" s="225"/>
      <c r="D542" s="226"/>
      <c r="E542" s="226">
        <f>'MAPA DE CUBAÇÃO'!H263</f>
        <v>247.66</v>
      </c>
      <c r="F542" s="226"/>
      <c r="G542" s="226"/>
      <c r="H542" s="226"/>
      <c r="I542" s="226"/>
      <c r="J542" s="226"/>
      <c r="K542" s="226"/>
      <c r="L542" s="226"/>
      <c r="M542" s="226"/>
      <c r="N542" s="228">
        <f>E542</f>
        <v>247.66</v>
      </c>
    </row>
    <row r="543" spans="1:14" x14ac:dyDescent="0.25">
      <c r="A543" s="223"/>
      <c r="B543" s="229"/>
      <c r="C543" s="225"/>
      <c r="D543" s="226"/>
      <c r="E543" s="226"/>
      <c r="F543" s="226"/>
      <c r="G543" s="226"/>
      <c r="H543" s="226"/>
      <c r="I543" s="226"/>
      <c r="J543" s="226"/>
      <c r="K543" s="226"/>
      <c r="L543" s="226"/>
      <c r="M543" s="226"/>
      <c r="N543" s="228"/>
    </row>
    <row r="544" spans="1:14" ht="51" x14ac:dyDescent="0.25">
      <c r="A544" s="223" t="s">
        <v>355</v>
      </c>
      <c r="B544" s="229" t="s">
        <v>38</v>
      </c>
      <c r="C544" s="225" t="s">
        <v>30</v>
      </c>
      <c r="D544" s="226"/>
      <c r="E544" s="226"/>
      <c r="F544" s="226"/>
      <c r="G544" s="226"/>
      <c r="H544" s="226"/>
      <c r="I544" s="226"/>
      <c r="J544" s="226"/>
      <c r="K544" s="226"/>
      <c r="L544" s="226"/>
      <c r="M544" s="226"/>
      <c r="N544" s="230">
        <f>N545</f>
        <v>1716.16</v>
      </c>
    </row>
    <row r="545" spans="1:14" x14ac:dyDescent="0.25">
      <c r="A545" s="223"/>
      <c r="B545" s="229"/>
      <c r="C545" s="225"/>
      <c r="D545" s="226"/>
      <c r="E545" s="226"/>
      <c r="F545" s="226"/>
      <c r="G545" s="226">
        <v>1716.16</v>
      </c>
      <c r="H545" s="226"/>
      <c r="I545" s="226"/>
      <c r="J545" s="226"/>
      <c r="K545" s="226"/>
      <c r="L545" s="226"/>
      <c r="M545" s="226"/>
      <c r="N545" s="228">
        <f>G545</f>
        <v>1716.16</v>
      </c>
    </row>
    <row r="546" spans="1:14" x14ac:dyDescent="0.25">
      <c r="A546" s="223"/>
      <c r="B546" s="229"/>
      <c r="C546" s="225"/>
      <c r="D546" s="226"/>
      <c r="E546" s="226"/>
      <c r="F546" s="226"/>
      <c r="G546" s="226"/>
      <c r="H546" s="226"/>
      <c r="I546" s="226"/>
      <c r="J546" s="226"/>
      <c r="K546" s="226"/>
      <c r="L546" s="226"/>
      <c r="M546" s="226"/>
      <c r="N546" s="230"/>
    </row>
    <row r="547" spans="1:14" ht="76.5" x14ac:dyDescent="0.25">
      <c r="A547" s="223" t="s">
        <v>356</v>
      </c>
      <c r="B547" s="229" t="s">
        <v>44</v>
      </c>
      <c r="C547" s="225" t="s">
        <v>30</v>
      </c>
      <c r="D547" s="226"/>
      <c r="E547" s="226"/>
      <c r="F547" s="226"/>
      <c r="G547" s="226"/>
      <c r="H547" s="226"/>
      <c r="I547" s="226"/>
      <c r="J547" s="226"/>
      <c r="K547" s="226"/>
      <c r="L547" s="226"/>
      <c r="M547" s="226"/>
      <c r="N547" s="230">
        <f>N548</f>
        <v>1716.16</v>
      </c>
    </row>
    <row r="548" spans="1:14" x14ac:dyDescent="0.25">
      <c r="A548" s="223"/>
      <c r="B548" s="229"/>
      <c r="C548" s="225"/>
      <c r="D548" s="226"/>
      <c r="E548" s="226"/>
      <c r="F548" s="226"/>
      <c r="G548" s="226">
        <v>1716.16</v>
      </c>
      <c r="H548" s="226"/>
      <c r="I548" s="226"/>
      <c r="J548" s="226"/>
      <c r="K548" s="226"/>
      <c r="L548" s="226"/>
      <c r="M548" s="226"/>
      <c r="N548" s="228">
        <f>G548</f>
        <v>1716.16</v>
      </c>
    </row>
    <row r="549" spans="1:14" x14ac:dyDescent="0.25">
      <c r="A549" s="223"/>
      <c r="B549" s="229"/>
      <c r="C549" s="225"/>
      <c r="D549" s="226"/>
      <c r="E549" s="226"/>
      <c r="F549" s="226"/>
      <c r="G549" s="226"/>
      <c r="H549" s="226"/>
      <c r="I549" s="226"/>
      <c r="J549" s="226"/>
      <c r="K549" s="226"/>
      <c r="L549" s="226"/>
      <c r="M549" s="226"/>
      <c r="N549" s="230"/>
    </row>
    <row r="550" spans="1:14" ht="102" x14ac:dyDescent="0.25">
      <c r="A550" s="223" t="s">
        <v>357</v>
      </c>
      <c r="B550" s="229" t="s">
        <v>49</v>
      </c>
      <c r="C550" s="225" t="s">
        <v>42</v>
      </c>
      <c r="D550" s="226"/>
      <c r="E550" s="226"/>
      <c r="F550" s="226"/>
      <c r="G550" s="226"/>
      <c r="H550" s="226"/>
      <c r="I550" s="226"/>
      <c r="J550" s="226"/>
      <c r="K550" s="226"/>
      <c r="L550" s="226"/>
      <c r="M550" s="226"/>
      <c r="N550" s="230">
        <f>N551</f>
        <v>478.1</v>
      </c>
    </row>
    <row r="551" spans="1:14" x14ac:dyDescent="0.25">
      <c r="A551" s="223"/>
      <c r="B551" s="229"/>
      <c r="C551" s="225"/>
      <c r="D551" s="226"/>
      <c r="E551" s="226">
        <v>478.1</v>
      </c>
      <c r="F551" s="226"/>
      <c r="G551" s="226"/>
      <c r="H551" s="226"/>
      <c r="I551" s="226"/>
      <c r="J551" s="226"/>
      <c r="K551" s="226"/>
      <c r="L551" s="226"/>
      <c r="M551" s="226"/>
      <c r="N551" s="228">
        <f>E551</f>
        <v>478.1</v>
      </c>
    </row>
    <row r="552" spans="1:14" x14ac:dyDescent="0.25">
      <c r="A552" s="223"/>
      <c r="B552" s="229"/>
      <c r="C552" s="225"/>
      <c r="D552" s="226"/>
      <c r="E552" s="226"/>
      <c r="F552" s="226"/>
      <c r="G552" s="226"/>
      <c r="H552" s="226"/>
      <c r="I552" s="226"/>
      <c r="J552" s="226"/>
      <c r="K552" s="226"/>
      <c r="L552" s="226"/>
      <c r="M552" s="226"/>
      <c r="N552" s="230"/>
    </row>
    <row r="553" spans="1:14" x14ac:dyDescent="0.25">
      <c r="A553" s="231" t="s">
        <v>358</v>
      </c>
      <c r="B553" s="224" t="s">
        <v>471</v>
      </c>
      <c r="C553" s="225"/>
      <c r="D553" s="226"/>
      <c r="E553" s="226"/>
      <c r="F553" s="226"/>
      <c r="G553" s="226"/>
      <c r="H553" s="226"/>
      <c r="I553" s="226"/>
      <c r="J553" s="226"/>
      <c r="K553" s="226"/>
      <c r="L553" s="226"/>
      <c r="M553" s="226"/>
      <c r="N553" s="230"/>
    </row>
    <row r="554" spans="1:14" x14ac:dyDescent="0.25">
      <c r="A554" s="223" t="s">
        <v>359</v>
      </c>
      <c r="B554" s="229" t="s">
        <v>48</v>
      </c>
      <c r="C554" s="225" t="s">
        <v>42</v>
      </c>
      <c r="D554" s="226"/>
      <c r="E554" s="226"/>
      <c r="F554" s="226"/>
      <c r="G554" s="226"/>
      <c r="H554" s="226"/>
      <c r="I554" s="226"/>
      <c r="J554" s="226"/>
      <c r="K554" s="226"/>
      <c r="L554" s="226"/>
      <c r="M554" s="226"/>
      <c r="N554" s="230">
        <f>N555</f>
        <v>87.81</v>
      </c>
    </row>
    <row r="555" spans="1:14" x14ac:dyDescent="0.25">
      <c r="A555" s="223"/>
      <c r="B555" s="229"/>
      <c r="C555" s="225"/>
      <c r="D555" s="226"/>
      <c r="E555" s="226">
        <f>DRENAGEM!C49</f>
        <v>87.81</v>
      </c>
      <c r="F555" s="226"/>
      <c r="G555" s="226"/>
      <c r="H555" s="226"/>
      <c r="I555" s="226"/>
      <c r="J555" s="226"/>
      <c r="K555" s="226"/>
      <c r="L555" s="226"/>
      <c r="M555" s="226"/>
      <c r="N555" s="228">
        <f>E555</f>
        <v>87.81</v>
      </c>
    </row>
    <row r="556" spans="1:14" x14ac:dyDescent="0.25">
      <c r="A556" s="223"/>
      <c r="B556" s="229"/>
      <c r="C556" s="225"/>
      <c r="D556" s="226"/>
      <c r="E556" s="226"/>
      <c r="F556" s="226"/>
      <c r="G556" s="226"/>
      <c r="H556" s="226"/>
      <c r="I556" s="226"/>
      <c r="J556" s="226"/>
      <c r="K556" s="226"/>
      <c r="L556" s="226"/>
      <c r="M556" s="226"/>
      <c r="N556" s="230"/>
    </row>
    <row r="557" spans="1:14" ht="102" x14ac:dyDescent="0.25">
      <c r="A557" s="223" t="s">
        <v>360</v>
      </c>
      <c r="B557" s="229" t="s">
        <v>50</v>
      </c>
      <c r="C557" s="225" t="s">
        <v>34</v>
      </c>
      <c r="D557" s="226"/>
      <c r="E557" s="226"/>
      <c r="F557" s="226"/>
      <c r="G557" s="226"/>
      <c r="H557" s="226"/>
      <c r="I557" s="226"/>
      <c r="J557" s="226"/>
      <c r="K557" s="226"/>
      <c r="L557" s="226"/>
      <c r="M557" s="226"/>
      <c r="N557" s="230">
        <f>N558</f>
        <v>197.57</v>
      </c>
    </row>
    <row r="558" spans="1:14" x14ac:dyDescent="0.25">
      <c r="A558" s="223"/>
      <c r="B558" s="229"/>
      <c r="C558" s="225"/>
      <c r="D558" s="226"/>
      <c r="E558" s="226"/>
      <c r="F558" s="226"/>
      <c r="G558" s="226"/>
      <c r="H558" s="226"/>
      <c r="I558" s="226"/>
      <c r="J558" s="226"/>
      <c r="K558" s="226"/>
      <c r="L558" s="226"/>
      <c r="M558" s="226">
        <f>DRENAGEM!U49</f>
        <v>197.57</v>
      </c>
      <c r="N558" s="228">
        <f>M558</f>
        <v>197.57</v>
      </c>
    </row>
    <row r="559" spans="1:14" x14ac:dyDescent="0.25">
      <c r="A559" s="223"/>
      <c r="B559" s="229"/>
      <c r="C559" s="225"/>
      <c r="D559" s="226"/>
      <c r="E559" s="226"/>
      <c r="F559" s="226"/>
      <c r="G559" s="226"/>
      <c r="H559" s="226"/>
      <c r="I559" s="226"/>
      <c r="J559" s="226"/>
      <c r="K559" s="226"/>
      <c r="L559" s="226"/>
      <c r="M559" s="226"/>
      <c r="N559" s="230"/>
    </row>
    <row r="560" spans="1:14" ht="114.75" x14ac:dyDescent="0.25">
      <c r="A560" s="223" t="s">
        <v>361</v>
      </c>
      <c r="B560" s="229" t="s">
        <v>51</v>
      </c>
      <c r="C560" s="225" t="s">
        <v>34</v>
      </c>
      <c r="D560" s="226"/>
      <c r="E560" s="226"/>
      <c r="F560" s="226"/>
      <c r="G560" s="226"/>
      <c r="H560" s="226"/>
      <c r="I560" s="226"/>
      <c r="J560" s="226"/>
      <c r="K560" s="226"/>
      <c r="L560" s="226"/>
      <c r="M560" s="226"/>
      <c r="N560" s="230">
        <f>N561</f>
        <v>19.77</v>
      </c>
    </row>
    <row r="561" spans="1:14" x14ac:dyDescent="0.25">
      <c r="A561" s="223"/>
      <c r="B561" s="229"/>
      <c r="C561" s="225"/>
      <c r="D561" s="226"/>
      <c r="E561" s="226"/>
      <c r="F561" s="226"/>
      <c r="G561" s="226"/>
      <c r="H561" s="226"/>
      <c r="I561" s="226"/>
      <c r="J561" s="226"/>
      <c r="K561" s="226"/>
      <c r="L561" s="226"/>
      <c r="M561" s="226">
        <f>DRENAGEM!V49</f>
        <v>19.77</v>
      </c>
      <c r="N561" s="228">
        <f>M561</f>
        <v>19.77</v>
      </c>
    </row>
    <row r="562" spans="1:14" x14ac:dyDescent="0.25">
      <c r="A562" s="223"/>
      <c r="B562" s="229"/>
      <c r="C562" s="225"/>
      <c r="D562" s="226"/>
      <c r="E562" s="226"/>
      <c r="F562" s="226"/>
      <c r="G562" s="226"/>
      <c r="H562" s="226"/>
      <c r="I562" s="226"/>
      <c r="J562" s="226"/>
      <c r="K562" s="226"/>
      <c r="L562" s="226"/>
      <c r="M562" s="226"/>
      <c r="N562" s="230"/>
    </row>
    <row r="563" spans="1:14" ht="89.25" x14ac:dyDescent="0.25">
      <c r="A563" s="223" t="s">
        <v>362</v>
      </c>
      <c r="B563" s="229" t="s">
        <v>266</v>
      </c>
      <c r="C563" s="225" t="s">
        <v>42</v>
      </c>
      <c r="D563" s="226"/>
      <c r="E563" s="226"/>
      <c r="F563" s="226"/>
      <c r="G563" s="226"/>
      <c r="H563" s="226"/>
      <c r="I563" s="226"/>
      <c r="J563" s="226"/>
      <c r="K563" s="226"/>
      <c r="L563" s="226"/>
      <c r="M563" s="226"/>
      <c r="N563" s="230">
        <f>N564</f>
        <v>87.81</v>
      </c>
    </row>
    <row r="564" spans="1:14" x14ac:dyDescent="0.25">
      <c r="A564" s="223"/>
      <c r="B564" s="229"/>
      <c r="C564" s="225"/>
      <c r="D564" s="226"/>
      <c r="E564" s="226">
        <f>DRENAGEM!C49</f>
        <v>87.81</v>
      </c>
      <c r="F564" s="226"/>
      <c r="G564" s="226"/>
      <c r="H564" s="226"/>
      <c r="I564" s="226"/>
      <c r="J564" s="226"/>
      <c r="K564" s="226"/>
      <c r="L564" s="226"/>
      <c r="M564" s="226"/>
      <c r="N564" s="228">
        <f>E564</f>
        <v>87.81</v>
      </c>
    </row>
    <row r="565" spans="1:14" x14ac:dyDescent="0.25">
      <c r="A565" s="223"/>
      <c r="B565" s="229"/>
      <c r="C565" s="225"/>
      <c r="D565" s="226"/>
      <c r="E565" s="226"/>
      <c r="F565" s="226"/>
      <c r="G565" s="226"/>
      <c r="H565" s="226"/>
      <c r="I565" s="226"/>
      <c r="J565" s="226"/>
      <c r="K565" s="226"/>
      <c r="L565" s="226"/>
      <c r="M565" s="226"/>
      <c r="N565" s="230"/>
    </row>
    <row r="566" spans="1:14" ht="63.75" x14ac:dyDescent="0.25">
      <c r="A566" s="223" t="s">
        <v>363</v>
      </c>
      <c r="B566" s="229" t="s">
        <v>53</v>
      </c>
      <c r="C566" s="225" t="s">
        <v>30</v>
      </c>
      <c r="D566" s="226"/>
      <c r="E566" s="226"/>
      <c r="F566" s="226"/>
      <c r="G566" s="226"/>
      <c r="H566" s="226"/>
      <c r="I566" s="226"/>
      <c r="J566" s="226"/>
      <c r="K566" s="226"/>
      <c r="L566" s="226"/>
      <c r="M566" s="226"/>
      <c r="N566" s="230">
        <f>N567</f>
        <v>19.77</v>
      </c>
    </row>
    <row r="567" spans="1:14" x14ac:dyDescent="0.25">
      <c r="A567" s="223"/>
      <c r="B567" s="229"/>
      <c r="C567" s="225"/>
      <c r="D567" s="226"/>
      <c r="E567" s="226"/>
      <c r="F567" s="226"/>
      <c r="G567" s="226"/>
      <c r="H567" s="226"/>
      <c r="I567" s="226"/>
      <c r="J567" s="226"/>
      <c r="K567" s="226"/>
      <c r="L567" s="226"/>
      <c r="M567" s="226">
        <f>DRENAGEM!X49</f>
        <v>19.77</v>
      </c>
      <c r="N567" s="228">
        <f>M567</f>
        <v>19.77</v>
      </c>
    </row>
    <row r="568" spans="1:14" x14ac:dyDescent="0.25">
      <c r="A568" s="223"/>
      <c r="B568" s="229"/>
      <c r="C568" s="225"/>
      <c r="D568" s="226"/>
      <c r="E568" s="226"/>
      <c r="F568" s="226"/>
      <c r="G568" s="226"/>
      <c r="H568" s="226"/>
      <c r="I568" s="226"/>
      <c r="J568" s="226"/>
      <c r="K568" s="226"/>
      <c r="L568" s="226"/>
      <c r="M568" s="226"/>
      <c r="N568" s="230"/>
    </row>
    <row r="569" spans="1:14" ht="38.25" x14ac:dyDescent="0.25">
      <c r="A569" s="223" t="s">
        <v>364</v>
      </c>
      <c r="B569" s="229" t="s">
        <v>271</v>
      </c>
      <c r="C569" s="225" t="s">
        <v>34</v>
      </c>
      <c r="D569" s="226"/>
      <c r="E569" s="226"/>
      <c r="F569" s="226"/>
      <c r="G569" s="226"/>
      <c r="H569" s="226"/>
      <c r="I569" s="226"/>
      <c r="J569" s="226"/>
      <c r="K569" s="226"/>
      <c r="L569" s="226"/>
      <c r="M569" s="226"/>
      <c r="N569" s="230">
        <f>N570</f>
        <v>180.33</v>
      </c>
    </row>
    <row r="570" spans="1:14" x14ac:dyDescent="0.25">
      <c r="A570" s="223"/>
      <c r="B570" s="229"/>
      <c r="C570" s="225"/>
      <c r="D570" s="226"/>
      <c r="E570" s="226"/>
      <c r="F570" s="226"/>
      <c r="G570" s="226"/>
      <c r="H570" s="226"/>
      <c r="I570" s="226"/>
      <c r="J570" s="226"/>
      <c r="K570" s="226"/>
      <c r="L570" s="226"/>
      <c r="M570" s="226">
        <f>DRENAGEM!W49</f>
        <v>180.33</v>
      </c>
      <c r="N570" s="228">
        <f>M570</f>
        <v>180.33</v>
      </c>
    </row>
    <row r="571" spans="1:14" x14ac:dyDescent="0.25">
      <c r="A571" s="223"/>
      <c r="B571" s="229"/>
      <c r="C571" s="225"/>
      <c r="D571" s="226"/>
      <c r="E571" s="226"/>
      <c r="F571" s="226"/>
      <c r="G571" s="226"/>
      <c r="H571" s="226"/>
      <c r="I571" s="226"/>
      <c r="J571" s="226"/>
      <c r="K571" s="226"/>
      <c r="L571" s="226"/>
      <c r="M571" s="226"/>
      <c r="N571" s="230"/>
    </row>
    <row r="572" spans="1:14" ht="76.5" x14ac:dyDescent="0.25">
      <c r="A572" s="223" t="s">
        <v>365</v>
      </c>
      <c r="B572" s="229" t="s">
        <v>45</v>
      </c>
      <c r="C572" s="225" t="s">
        <v>34</v>
      </c>
      <c r="D572" s="226"/>
      <c r="E572" s="226"/>
      <c r="F572" s="226"/>
      <c r="G572" s="226"/>
      <c r="H572" s="226"/>
      <c r="I572" s="226"/>
      <c r="J572" s="226"/>
      <c r="K572" s="226"/>
      <c r="L572" s="226"/>
      <c r="M572" s="226"/>
      <c r="N572" s="230">
        <f>N573</f>
        <v>37.01</v>
      </c>
    </row>
    <row r="573" spans="1:14" x14ac:dyDescent="0.25">
      <c r="A573" s="223"/>
      <c r="B573" s="229"/>
      <c r="C573" s="225"/>
      <c r="D573" s="226"/>
      <c r="E573" s="226"/>
      <c r="F573" s="226"/>
      <c r="G573" s="226"/>
      <c r="H573" s="226"/>
      <c r="I573" s="226"/>
      <c r="J573" s="226"/>
      <c r="K573" s="226"/>
      <c r="L573" s="226"/>
      <c r="M573" s="226">
        <f>DRENAGEM!Y49</f>
        <v>37.01</v>
      </c>
      <c r="N573" s="228">
        <f>M573</f>
        <v>37.01</v>
      </c>
    </row>
    <row r="574" spans="1:14" x14ac:dyDescent="0.25">
      <c r="A574" s="223"/>
      <c r="B574" s="229"/>
      <c r="C574" s="225"/>
      <c r="D574" s="226"/>
      <c r="E574" s="226"/>
      <c r="F574" s="226"/>
      <c r="G574" s="226"/>
      <c r="H574" s="226"/>
      <c r="I574" s="226"/>
      <c r="J574" s="226"/>
      <c r="K574" s="226"/>
      <c r="L574" s="226"/>
      <c r="M574" s="226"/>
      <c r="N574" s="230"/>
    </row>
    <row r="575" spans="1:14" ht="38.25" x14ac:dyDescent="0.25">
      <c r="A575" s="223" t="s">
        <v>366</v>
      </c>
      <c r="B575" s="229" t="s">
        <v>54</v>
      </c>
      <c r="C575" s="225" t="s">
        <v>55</v>
      </c>
      <c r="D575" s="226"/>
      <c r="E575" s="237" t="s">
        <v>281</v>
      </c>
      <c r="F575" s="226"/>
      <c r="G575" s="226"/>
      <c r="H575" s="226"/>
      <c r="I575" s="226"/>
      <c r="J575" s="226"/>
      <c r="K575" s="239" t="s">
        <v>280</v>
      </c>
      <c r="L575" s="226"/>
      <c r="M575" s="226"/>
      <c r="N575" s="230">
        <f>N576</f>
        <v>231.31</v>
      </c>
    </row>
    <row r="576" spans="1:14" x14ac:dyDescent="0.25">
      <c r="A576" s="223"/>
      <c r="B576" s="229"/>
      <c r="C576" s="225"/>
      <c r="D576" s="226"/>
      <c r="E576" s="226">
        <v>5</v>
      </c>
      <c r="F576" s="226"/>
      <c r="G576" s="226"/>
      <c r="H576" s="226"/>
      <c r="I576" s="226"/>
      <c r="J576" s="226"/>
      <c r="K576" s="238">
        <v>1.25</v>
      </c>
      <c r="L576" s="226"/>
      <c r="M576" s="226">
        <f>M573</f>
        <v>37.01</v>
      </c>
      <c r="N576" s="228">
        <f>E576*K576*M576</f>
        <v>231.31</v>
      </c>
    </row>
    <row r="577" spans="1:14" x14ac:dyDescent="0.25">
      <c r="A577" s="223"/>
      <c r="B577" s="229"/>
      <c r="C577" s="225"/>
      <c r="D577" s="226"/>
      <c r="E577" s="226"/>
      <c r="F577" s="226"/>
      <c r="G577" s="226"/>
      <c r="H577" s="226"/>
      <c r="I577" s="226"/>
      <c r="J577" s="226"/>
      <c r="K577" s="226"/>
      <c r="L577" s="226"/>
      <c r="M577" s="226"/>
      <c r="N577" s="230"/>
    </row>
    <row r="578" spans="1:14" ht="63.75" x14ac:dyDescent="0.25">
      <c r="A578" s="223" t="s">
        <v>665</v>
      </c>
      <c r="B578" s="229" t="s">
        <v>275</v>
      </c>
      <c r="C578" s="225" t="s">
        <v>30</v>
      </c>
      <c r="D578" s="226"/>
      <c r="E578" s="226"/>
      <c r="F578" s="226"/>
      <c r="G578" s="226"/>
      <c r="H578" s="226"/>
      <c r="I578" s="226"/>
      <c r="J578" s="226"/>
      <c r="K578" s="226"/>
      <c r="L578" s="226"/>
      <c r="M578" s="226"/>
      <c r="N578" s="230">
        <f>N579</f>
        <v>263.43</v>
      </c>
    </row>
    <row r="579" spans="1:14" x14ac:dyDescent="0.25">
      <c r="A579" s="223"/>
      <c r="B579" s="229"/>
      <c r="C579" s="225"/>
      <c r="D579" s="226"/>
      <c r="E579" s="226"/>
      <c r="F579" s="226"/>
      <c r="G579" s="226">
        <f>DRENAGEM!Z49</f>
        <v>263.43</v>
      </c>
      <c r="H579" s="226"/>
      <c r="I579" s="226"/>
      <c r="J579" s="226"/>
      <c r="K579" s="226"/>
      <c r="L579" s="226"/>
      <c r="M579" s="226"/>
      <c r="N579" s="228">
        <f>G579</f>
        <v>263.43</v>
      </c>
    </row>
    <row r="580" spans="1:14" x14ac:dyDescent="0.25">
      <c r="A580" s="223"/>
      <c r="B580" s="229"/>
      <c r="C580" s="225"/>
      <c r="D580" s="226"/>
      <c r="E580" s="226"/>
      <c r="F580" s="226"/>
      <c r="G580" s="226"/>
      <c r="H580" s="226"/>
      <c r="I580" s="226"/>
      <c r="J580" s="226"/>
      <c r="K580" s="226"/>
      <c r="L580" s="226"/>
      <c r="M580" s="226"/>
      <c r="N580" s="230"/>
    </row>
    <row r="581" spans="1:14" ht="63.75" x14ac:dyDescent="0.25">
      <c r="A581" s="223" t="s">
        <v>568</v>
      </c>
      <c r="B581" s="229" t="s">
        <v>58</v>
      </c>
      <c r="C581" s="225" t="s">
        <v>42</v>
      </c>
      <c r="D581" s="226"/>
      <c r="E581" s="226"/>
      <c r="F581" s="226"/>
      <c r="G581" s="226"/>
      <c r="H581" s="226"/>
      <c r="I581" s="226"/>
      <c r="J581" s="226"/>
      <c r="K581" s="226"/>
      <c r="L581" s="226"/>
      <c r="M581" s="226"/>
      <c r="N581" s="230">
        <f>N582</f>
        <v>3.6</v>
      </c>
    </row>
    <row r="582" spans="1:14" x14ac:dyDescent="0.25">
      <c r="A582" s="223"/>
      <c r="B582" s="229"/>
      <c r="C582" s="225"/>
      <c r="D582" s="226"/>
      <c r="E582" s="226"/>
      <c r="F582" s="226">
        <v>0.6</v>
      </c>
      <c r="G582" s="226"/>
      <c r="H582" s="226"/>
      <c r="I582" s="226">
        <v>6</v>
      </c>
      <c r="J582" s="226"/>
      <c r="K582" s="226"/>
      <c r="L582" s="226"/>
      <c r="M582" s="226"/>
      <c r="N582" s="228">
        <f>F582*I582</f>
        <v>3.6</v>
      </c>
    </row>
    <row r="583" spans="1:14" x14ac:dyDescent="0.25">
      <c r="A583" s="223"/>
      <c r="B583" s="229"/>
      <c r="C583" s="225"/>
      <c r="D583" s="226"/>
      <c r="E583" s="226"/>
      <c r="F583" s="226"/>
      <c r="G583" s="226"/>
      <c r="H583" s="226"/>
      <c r="I583" s="226"/>
      <c r="J583" s="226"/>
      <c r="K583" s="226"/>
      <c r="L583" s="226"/>
      <c r="M583" s="226"/>
      <c r="N583" s="230"/>
    </row>
    <row r="584" spans="1:14" ht="63.75" x14ac:dyDescent="0.25">
      <c r="A584" s="223" t="s">
        <v>569</v>
      </c>
      <c r="B584" s="229" t="s">
        <v>445</v>
      </c>
      <c r="C584" s="225" t="s">
        <v>57</v>
      </c>
      <c r="D584" s="226"/>
      <c r="E584" s="226"/>
      <c r="F584" s="226"/>
      <c r="G584" s="226"/>
      <c r="H584" s="226"/>
      <c r="I584" s="226"/>
      <c r="J584" s="226"/>
      <c r="K584" s="226"/>
      <c r="L584" s="226"/>
      <c r="M584" s="226"/>
      <c r="N584" s="230">
        <f>N585</f>
        <v>12</v>
      </c>
    </row>
    <row r="585" spans="1:14" x14ac:dyDescent="0.25">
      <c r="A585" s="223"/>
      <c r="B585" s="229"/>
      <c r="C585" s="225"/>
      <c r="D585" s="226"/>
      <c r="E585" s="226"/>
      <c r="F585" s="226"/>
      <c r="G585" s="226"/>
      <c r="H585" s="226"/>
      <c r="I585" s="226">
        <v>12</v>
      </c>
      <c r="J585" s="226"/>
      <c r="K585" s="226"/>
      <c r="L585" s="226"/>
      <c r="M585" s="226"/>
      <c r="N585" s="228">
        <f>I585</f>
        <v>12</v>
      </c>
    </row>
    <row r="586" spans="1:14" x14ac:dyDescent="0.25">
      <c r="A586" s="223"/>
      <c r="B586" s="229"/>
      <c r="C586" s="225"/>
      <c r="D586" s="226"/>
      <c r="E586" s="226"/>
      <c r="F586" s="226"/>
      <c r="G586" s="226"/>
      <c r="H586" s="226"/>
      <c r="I586" s="226"/>
      <c r="J586" s="226"/>
      <c r="K586" s="226"/>
      <c r="L586" s="226"/>
      <c r="M586" s="226"/>
      <c r="N586" s="230"/>
    </row>
    <row r="587" spans="1:14" ht="51" x14ac:dyDescent="0.25">
      <c r="A587" s="223" t="s">
        <v>570</v>
      </c>
      <c r="B587" s="229" t="s">
        <v>274</v>
      </c>
      <c r="C587" s="225" t="s">
        <v>57</v>
      </c>
      <c r="D587" s="226"/>
      <c r="E587" s="226"/>
      <c r="F587" s="226"/>
      <c r="G587" s="226"/>
      <c r="H587" s="226"/>
      <c r="I587" s="226"/>
      <c r="J587" s="226"/>
      <c r="K587" s="226"/>
      <c r="L587" s="226"/>
      <c r="M587" s="226"/>
      <c r="N587" s="230">
        <f>N588</f>
        <v>6</v>
      </c>
    </row>
    <row r="588" spans="1:14" x14ac:dyDescent="0.25">
      <c r="A588" s="223"/>
      <c r="B588" s="229"/>
      <c r="C588" s="225"/>
      <c r="D588" s="226"/>
      <c r="E588" s="226"/>
      <c r="F588" s="226"/>
      <c r="G588" s="226"/>
      <c r="H588" s="226"/>
      <c r="I588" s="226">
        <v>6</v>
      </c>
      <c r="J588" s="226"/>
      <c r="K588" s="226"/>
      <c r="L588" s="226"/>
      <c r="M588" s="226"/>
      <c r="N588" s="228">
        <f>I588</f>
        <v>6</v>
      </c>
    </row>
    <row r="589" spans="1:14" x14ac:dyDescent="0.25">
      <c r="A589" s="223"/>
      <c r="B589" s="229"/>
      <c r="C589" s="225"/>
      <c r="D589" s="226"/>
      <c r="E589" s="226"/>
      <c r="F589" s="226"/>
      <c r="G589" s="226"/>
      <c r="H589" s="226"/>
      <c r="I589" s="226"/>
      <c r="J589" s="226"/>
      <c r="K589" s="226"/>
      <c r="L589" s="226"/>
      <c r="M589" s="226"/>
      <c r="N589" s="230"/>
    </row>
    <row r="590" spans="1:14" x14ac:dyDescent="0.25">
      <c r="A590" s="232" t="s">
        <v>367</v>
      </c>
      <c r="B590" s="233" t="s">
        <v>458</v>
      </c>
      <c r="C590" s="234"/>
      <c r="D590" s="235"/>
      <c r="E590" s="235"/>
      <c r="F590" s="235"/>
      <c r="G590" s="235"/>
      <c r="H590" s="235"/>
      <c r="I590" s="235"/>
      <c r="J590" s="235"/>
      <c r="K590" s="235"/>
      <c r="L590" s="235"/>
      <c r="M590" s="235"/>
      <c r="N590" s="236"/>
    </row>
    <row r="591" spans="1:14" x14ac:dyDescent="0.25">
      <c r="A591" s="231" t="s">
        <v>368</v>
      </c>
      <c r="B591" s="224" t="s">
        <v>33</v>
      </c>
      <c r="C591" s="225"/>
      <c r="D591" s="226"/>
      <c r="E591" s="226"/>
      <c r="F591" s="226"/>
      <c r="G591" s="226"/>
      <c r="H591" s="226"/>
      <c r="I591" s="226"/>
      <c r="J591" s="226"/>
      <c r="K591" s="226"/>
      <c r="L591" s="226"/>
      <c r="M591" s="226"/>
      <c r="N591" s="230"/>
    </row>
    <row r="592" spans="1:14" ht="51" x14ac:dyDescent="0.25">
      <c r="A592" s="223" t="s">
        <v>369</v>
      </c>
      <c r="B592" s="229" t="s">
        <v>270</v>
      </c>
      <c r="C592" s="225" t="s">
        <v>34</v>
      </c>
      <c r="D592" s="226"/>
      <c r="E592" s="226"/>
      <c r="F592" s="226"/>
      <c r="G592" s="226"/>
      <c r="H592" s="226"/>
      <c r="I592" s="226"/>
      <c r="J592" s="226"/>
      <c r="K592" s="226"/>
      <c r="L592" s="226"/>
      <c r="M592" s="226"/>
      <c r="N592" s="230">
        <f>N593</f>
        <v>203.2</v>
      </c>
    </row>
    <row r="593" spans="1:14" x14ac:dyDescent="0.25">
      <c r="A593" s="223"/>
      <c r="B593" s="224" t="s">
        <v>279</v>
      </c>
      <c r="C593" s="225"/>
      <c r="D593" s="226"/>
      <c r="E593" s="226"/>
      <c r="F593" s="226"/>
      <c r="G593" s="226"/>
      <c r="H593" s="226"/>
      <c r="I593" s="226"/>
      <c r="J593" s="226"/>
      <c r="K593" s="226"/>
      <c r="L593" s="226"/>
      <c r="M593" s="226">
        <f>'MAPA DE CUBAÇÃO'!I281</f>
        <v>203.2</v>
      </c>
      <c r="N593" s="228">
        <f>M593</f>
        <v>203.2</v>
      </c>
    </row>
    <row r="594" spans="1:14" x14ac:dyDescent="0.25">
      <c r="A594" s="223"/>
      <c r="B594" s="229"/>
      <c r="C594" s="225"/>
      <c r="D594" s="226"/>
      <c r="E594" s="226"/>
      <c r="F594" s="226"/>
      <c r="G594" s="226"/>
      <c r="H594" s="226"/>
      <c r="I594" s="226"/>
      <c r="J594" s="226"/>
      <c r="K594" s="226"/>
      <c r="L594" s="226"/>
      <c r="M594" s="226"/>
      <c r="N594" s="230"/>
    </row>
    <row r="595" spans="1:14" ht="76.5" x14ac:dyDescent="0.25">
      <c r="A595" s="223" t="s">
        <v>370</v>
      </c>
      <c r="B595" s="229" t="s">
        <v>45</v>
      </c>
      <c r="C595" s="225" t="s">
        <v>34</v>
      </c>
      <c r="D595" s="226"/>
      <c r="E595" s="226"/>
      <c r="F595" s="226"/>
      <c r="G595" s="226"/>
      <c r="H595" s="226"/>
      <c r="I595" s="226"/>
      <c r="J595" s="226"/>
      <c r="K595" s="239" t="s">
        <v>280</v>
      </c>
      <c r="L595" s="226"/>
      <c r="M595" s="226"/>
      <c r="N595" s="230">
        <f>N596</f>
        <v>254</v>
      </c>
    </row>
    <row r="596" spans="1:14" x14ac:dyDescent="0.25">
      <c r="A596" s="223"/>
      <c r="B596" s="224" t="s">
        <v>279</v>
      </c>
      <c r="C596" s="225"/>
      <c r="D596" s="226"/>
      <c r="E596" s="226"/>
      <c r="F596" s="226"/>
      <c r="G596" s="226"/>
      <c r="H596" s="226"/>
      <c r="I596" s="226"/>
      <c r="J596" s="226"/>
      <c r="K596" s="238">
        <v>1.25</v>
      </c>
      <c r="L596" s="226"/>
      <c r="M596" s="226">
        <f>N593</f>
        <v>203.2</v>
      </c>
      <c r="N596" s="228">
        <f>K596*M596</f>
        <v>254</v>
      </c>
    </row>
    <row r="597" spans="1:14" x14ac:dyDescent="0.25">
      <c r="A597" s="223"/>
      <c r="B597" s="229"/>
      <c r="C597" s="225"/>
      <c r="D597" s="226"/>
      <c r="E597" s="226"/>
      <c r="F597" s="226"/>
      <c r="G597" s="226"/>
      <c r="H597" s="226"/>
      <c r="I597" s="226"/>
      <c r="J597" s="226"/>
      <c r="K597" s="226"/>
      <c r="L597" s="226"/>
      <c r="M597" s="226"/>
      <c r="N597" s="230"/>
    </row>
    <row r="598" spans="1:14" ht="63.75" x14ac:dyDescent="0.25">
      <c r="A598" s="223" t="s">
        <v>371</v>
      </c>
      <c r="B598" s="229" t="s">
        <v>35</v>
      </c>
      <c r="C598" s="225" t="s">
        <v>36</v>
      </c>
      <c r="D598" s="226"/>
      <c r="E598" s="237" t="s">
        <v>281</v>
      </c>
      <c r="F598" s="226"/>
      <c r="G598" s="226"/>
      <c r="H598" s="226"/>
      <c r="I598" s="226"/>
      <c r="J598" s="226"/>
      <c r="K598" s="315"/>
      <c r="L598" s="226"/>
      <c r="M598" s="226"/>
      <c r="N598" s="230">
        <f>N599</f>
        <v>1270</v>
      </c>
    </row>
    <row r="599" spans="1:14" x14ac:dyDescent="0.25">
      <c r="A599" s="223"/>
      <c r="B599" s="224" t="s">
        <v>279</v>
      </c>
      <c r="C599" s="225"/>
      <c r="D599" s="226"/>
      <c r="E599" s="226">
        <v>5</v>
      </c>
      <c r="F599" s="226"/>
      <c r="G599" s="226"/>
      <c r="H599" s="226"/>
      <c r="I599" s="226"/>
      <c r="J599" s="226"/>
      <c r="K599" s="316"/>
      <c r="L599" s="226"/>
      <c r="M599" s="226">
        <f>N596</f>
        <v>254</v>
      </c>
      <c r="N599" s="228">
        <f>M599*E599</f>
        <v>1270</v>
      </c>
    </row>
    <row r="600" spans="1:14" x14ac:dyDescent="0.25">
      <c r="A600" s="223"/>
      <c r="B600" s="229"/>
      <c r="C600" s="225"/>
      <c r="D600" s="226"/>
      <c r="E600" s="226"/>
      <c r="F600" s="226"/>
      <c r="G600" s="226"/>
      <c r="H600" s="226"/>
      <c r="I600" s="226"/>
      <c r="J600" s="226"/>
      <c r="K600" s="226"/>
      <c r="L600" s="226"/>
      <c r="M600" s="226"/>
      <c r="N600" s="230"/>
    </row>
    <row r="601" spans="1:14" x14ac:dyDescent="0.25">
      <c r="A601" s="231" t="s">
        <v>372</v>
      </c>
      <c r="B601" s="224" t="s">
        <v>40</v>
      </c>
      <c r="C601" s="225"/>
      <c r="D601" s="226"/>
      <c r="E601" s="226"/>
      <c r="F601" s="226"/>
      <c r="G601" s="226"/>
      <c r="H601" s="226"/>
      <c r="I601" s="226"/>
      <c r="J601" s="226"/>
      <c r="K601" s="226"/>
      <c r="L601" s="226"/>
      <c r="M601" s="226"/>
      <c r="N601" s="230"/>
    </row>
    <row r="602" spans="1:14" ht="25.5" x14ac:dyDescent="0.25">
      <c r="A602" s="223" t="s">
        <v>373</v>
      </c>
      <c r="B602" s="229" t="s">
        <v>41</v>
      </c>
      <c r="C602" s="225" t="s">
        <v>42</v>
      </c>
      <c r="D602" s="226"/>
      <c r="E602" s="226"/>
      <c r="F602" s="226"/>
      <c r="G602" s="226"/>
      <c r="H602" s="226"/>
      <c r="I602" s="226"/>
      <c r="J602" s="226"/>
      <c r="K602" s="226"/>
      <c r="L602" s="226"/>
      <c r="M602" s="226"/>
      <c r="N602" s="230">
        <f>N603</f>
        <v>290.29000000000002</v>
      </c>
    </row>
    <row r="603" spans="1:14" x14ac:dyDescent="0.25">
      <c r="A603" s="223"/>
      <c r="B603" s="229"/>
      <c r="C603" s="225"/>
      <c r="D603" s="226"/>
      <c r="E603" s="226">
        <f>'MAPA DE CUBAÇÃO'!H281</f>
        <v>290.29000000000002</v>
      </c>
      <c r="F603" s="226"/>
      <c r="G603" s="226"/>
      <c r="H603" s="226"/>
      <c r="I603" s="226"/>
      <c r="J603" s="226"/>
      <c r="K603" s="226"/>
      <c r="L603" s="226"/>
      <c r="M603" s="226"/>
      <c r="N603" s="228">
        <f>E603</f>
        <v>290.29000000000002</v>
      </c>
    </row>
    <row r="604" spans="1:14" x14ac:dyDescent="0.25">
      <c r="A604" s="223"/>
      <c r="B604" s="229"/>
      <c r="C604" s="225"/>
      <c r="D604" s="226"/>
      <c r="E604" s="226"/>
      <c r="F604" s="226"/>
      <c r="G604" s="226"/>
      <c r="H604" s="226"/>
      <c r="I604" s="226"/>
      <c r="J604" s="226"/>
      <c r="K604" s="226"/>
      <c r="L604" s="226"/>
      <c r="M604" s="226"/>
      <c r="N604" s="228"/>
    </row>
    <row r="605" spans="1:14" ht="51" x14ac:dyDescent="0.25">
      <c r="A605" s="223" t="s">
        <v>374</v>
      </c>
      <c r="B605" s="229" t="s">
        <v>38</v>
      </c>
      <c r="C605" s="225" t="s">
        <v>30</v>
      </c>
      <c r="D605" s="226"/>
      <c r="E605" s="226"/>
      <c r="F605" s="226"/>
      <c r="G605" s="226"/>
      <c r="H605" s="226"/>
      <c r="I605" s="226"/>
      <c r="J605" s="226"/>
      <c r="K605" s="226"/>
      <c r="L605" s="226"/>
      <c r="M605" s="226"/>
      <c r="N605" s="230">
        <f>N606</f>
        <v>2719.89</v>
      </c>
    </row>
    <row r="606" spans="1:14" x14ac:dyDescent="0.25">
      <c r="A606" s="223"/>
      <c r="B606" s="229"/>
      <c r="C606" s="225"/>
      <c r="D606" s="226"/>
      <c r="E606" s="226"/>
      <c r="F606" s="226"/>
      <c r="G606" s="226">
        <f>751.78+1968.11</f>
        <v>2719.89</v>
      </c>
      <c r="H606" s="226"/>
      <c r="I606" s="226"/>
      <c r="J606" s="226"/>
      <c r="K606" s="226"/>
      <c r="L606" s="226"/>
      <c r="M606" s="226"/>
      <c r="N606" s="228">
        <f>G606</f>
        <v>2719.89</v>
      </c>
    </row>
    <row r="607" spans="1:14" x14ac:dyDescent="0.25">
      <c r="A607" s="223"/>
      <c r="B607" s="229"/>
      <c r="C607" s="225"/>
      <c r="D607" s="226"/>
      <c r="E607" s="226"/>
      <c r="F607" s="226"/>
      <c r="G607" s="226"/>
      <c r="H607" s="226"/>
      <c r="I607" s="226"/>
      <c r="J607" s="226"/>
      <c r="K607" s="226"/>
      <c r="L607" s="226"/>
      <c r="M607" s="226"/>
      <c r="N607" s="230"/>
    </row>
    <row r="608" spans="1:14" ht="76.5" x14ac:dyDescent="0.25">
      <c r="A608" s="223" t="s">
        <v>375</v>
      </c>
      <c r="B608" s="229" t="s">
        <v>44</v>
      </c>
      <c r="C608" s="225" t="s">
        <v>30</v>
      </c>
      <c r="D608" s="226"/>
      <c r="E608" s="226"/>
      <c r="F608" s="226"/>
      <c r="G608" s="226"/>
      <c r="H608" s="226"/>
      <c r="I608" s="226"/>
      <c r="J608" s="226"/>
      <c r="K608" s="226"/>
      <c r="L608" s="226"/>
      <c r="M608" s="226"/>
      <c r="N608" s="230">
        <f>N609</f>
        <v>2719.89</v>
      </c>
    </row>
    <row r="609" spans="1:14" x14ac:dyDescent="0.25">
      <c r="A609" s="223"/>
      <c r="B609" s="229"/>
      <c r="C609" s="225"/>
      <c r="D609" s="226"/>
      <c r="E609" s="226"/>
      <c r="F609" s="226"/>
      <c r="G609" s="226">
        <f>G606</f>
        <v>2719.89</v>
      </c>
      <c r="H609" s="226"/>
      <c r="I609" s="226"/>
      <c r="J609" s="226"/>
      <c r="K609" s="226"/>
      <c r="L609" s="226"/>
      <c r="M609" s="226"/>
      <c r="N609" s="228">
        <f>G609</f>
        <v>2719.89</v>
      </c>
    </row>
    <row r="610" spans="1:14" x14ac:dyDescent="0.25">
      <c r="A610" s="223"/>
      <c r="B610" s="229"/>
      <c r="C610" s="225"/>
      <c r="D610" s="226"/>
      <c r="E610" s="226"/>
      <c r="F610" s="226"/>
      <c r="G610" s="226"/>
      <c r="H610" s="226"/>
      <c r="I610" s="226"/>
      <c r="J610" s="226"/>
      <c r="K610" s="226"/>
      <c r="L610" s="226"/>
      <c r="M610" s="226"/>
      <c r="N610" s="230"/>
    </row>
    <row r="611" spans="1:14" ht="102" x14ac:dyDescent="0.25">
      <c r="A611" s="223" t="s">
        <v>376</v>
      </c>
      <c r="B611" s="229" t="s">
        <v>49</v>
      </c>
      <c r="C611" s="225" t="s">
        <v>42</v>
      </c>
      <c r="D611" s="226"/>
      <c r="E611" s="226"/>
      <c r="F611" s="226"/>
      <c r="G611" s="226"/>
      <c r="H611" s="226"/>
      <c r="I611" s="226"/>
      <c r="J611" s="226"/>
      <c r="K611" s="226"/>
      <c r="L611" s="226"/>
      <c r="M611" s="226"/>
      <c r="N611" s="230">
        <f>N612</f>
        <v>844.18</v>
      </c>
    </row>
    <row r="612" spans="1:14" x14ac:dyDescent="0.25">
      <c r="A612" s="223"/>
      <c r="B612" s="229"/>
      <c r="C612" s="225"/>
      <c r="D612" s="226"/>
      <c r="E612" s="226"/>
      <c r="F612" s="226"/>
      <c r="G612" s="226">
        <f>605.28+238.9</f>
        <v>844.18</v>
      </c>
      <c r="H612" s="226"/>
      <c r="I612" s="226"/>
      <c r="J612" s="226"/>
      <c r="K612" s="226"/>
      <c r="L612" s="226"/>
      <c r="M612" s="226"/>
      <c r="N612" s="228">
        <f>G612</f>
        <v>844.18</v>
      </c>
    </row>
    <row r="613" spans="1:14" x14ac:dyDescent="0.25">
      <c r="A613" s="223"/>
      <c r="B613" s="229"/>
      <c r="C613" s="225"/>
      <c r="D613" s="226"/>
      <c r="E613" s="226"/>
      <c r="F613" s="226"/>
      <c r="G613" s="226"/>
      <c r="H613" s="226"/>
      <c r="I613" s="226"/>
      <c r="J613" s="226"/>
      <c r="K613" s="226"/>
      <c r="L613" s="226"/>
      <c r="M613" s="226"/>
      <c r="N613" s="230"/>
    </row>
    <row r="614" spans="1:14" x14ac:dyDescent="0.25">
      <c r="A614" s="231" t="s">
        <v>627</v>
      </c>
      <c r="B614" s="224" t="s">
        <v>471</v>
      </c>
      <c r="C614" s="225"/>
      <c r="D614" s="226"/>
      <c r="E614" s="226"/>
      <c r="F614" s="226"/>
      <c r="G614" s="226"/>
      <c r="H614" s="226"/>
      <c r="I614" s="226"/>
      <c r="J614" s="226"/>
      <c r="K614" s="226"/>
      <c r="L614" s="226"/>
      <c r="M614" s="226"/>
      <c r="N614" s="230"/>
    </row>
    <row r="615" spans="1:14" x14ac:dyDescent="0.25">
      <c r="A615" s="223" t="s">
        <v>628</v>
      </c>
      <c r="B615" s="229" t="s">
        <v>48</v>
      </c>
      <c r="C615" s="225" t="s">
        <v>42</v>
      </c>
      <c r="D615" s="226"/>
      <c r="E615" s="226"/>
      <c r="F615" s="226"/>
      <c r="G615" s="226"/>
      <c r="H615" s="226"/>
      <c r="I615" s="226"/>
      <c r="J615" s="226"/>
      <c r="K615" s="226"/>
      <c r="L615" s="226"/>
      <c r="M615" s="226"/>
      <c r="N615" s="230">
        <f>N616</f>
        <v>34.619999999999997</v>
      </c>
    </row>
    <row r="616" spans="1:14" x14ac:dyDescent="0.25">
      <c r="A616" s="223"/>
      <c r="B616" s="229"/>
      <c r="C616" s="225"/>
      <c r="D616" s="226"/>
      <c r="E616" s="226">
        <f>DRENAGEM!C52</f>
        <v>34.619999999999997</v>
      </c>
      <c r="F616" s="226"/>
      <c r="G616" s="226"/>
      <c r="H616" s="226"/>
      <c r="I616" s="226"/>
      <c r="J616" s="226"/>
      <c r="K616" s="226"/>
      <c r="L616" s="226"/>
      <c r="M616" s="226"/>
      <c r="N616" s="228">
        <f>E616</f>
        <v>34.619999999999997</v>
      </c>
    </row>
    <row r="617" spans="1:14" x14ac:dyDescent="0.25">
      <c r="A617" s="223"/>
      <c r="B617" s="229"/>
      <c r="C617" s="225"/>
      <c r="D617" s="226"/>
      <c r="E617" s="226"/>
      <c r="F617" s="226"/>
      <c r="G617" s="226"/>
      <c r="H617" s="226"/>
      <c r="I617" s="226"/>
      <c r="J617" s="226"/>
      <c r="K617" s="226"/>
      <c r="L617" s="226"/>
      <c r="M617" s="226"/>
      <c r="N617" s="230"/>
    </row>
    <row r="618" spans="1:14" ht="102" x14ac:dyDescent="0.25">
      <c r="A618" s="223" t="s">
        <v>629</v>
      </c>
      <c r="B618" s="229" t="s">
        <v>50</v>
      </c>
      <c r="C618" s="225" t="s">
        <v>34</v>
      </c>
      <c r="D618" s="226"/>
      <c r="E618" s="226"/>
      <c r="F618" s="226"/>
      <c r="G618" s="226"/>
      <c r="H618" s="226"/>
      <c r="I618" s="226"/>
      <c r="J618" s="226"/>
      <c r="K618" s="226"/>
      <c r="L618" s="226"/>
      <c r="M618" s="226"/>
      <c r="N618" s="230">
        <f>N619</f>
        <v>77.900000000000006</v>
      </c>
    </row>
    <row r="619" spans="1:14" x14ac:dyDescent="0.25">
      <c r="A619" s="223"/>
      <c r="B619" s="229"/>
      <c r="C619" s="225"/>
      <c r="D619" s="226"/>
      <c r="E619" s="226"/>
      <c r="F619" s="226"/>
      <c r="G619" s="226"/>
      <c r="H619" s="226"/>
      <c r="I619" s="226"/>
      <c r="J619" s="226"/>
      <c r="K619" s="226"/>
      <c r="L619" s="226"/>
      <c r="M619" s="226">
        <f>DRENAGEM!U52</f>
        <v>77.900000000000006</v>
      </c>
      <c r="N619" s="228">
        <f>M619</f>
        <v>77.900000000000006</v>
      </c>
    </row>
    <row r="620" spans="1:14" x14ac:dyDescent="0.25">
      <c r="A620" s="223"/>
      <c r="B620" s="229"/>
      <c r="C620" s="225"/>
      <c r="D620" s="226"/>
      <c r="E620" s="226"/>
      <c r="F620" s="226"/>
      <c r="G620" s="226"/>
      <c r="H620" s="226"/>
      <c r="I620" s="226"/>
      <c r="J620" s="226"/>
      <c r="K620" s="226"/>
      <c r="L620" s="226"/>
      <c r="M620" s="226"/>
      <c r="N620" s="230"/>
    </row>
    <row r="621" spans="1:14" ht="114.75" x14ac:dyDescent="0.25">
      <c r="A621" s="223" t="s">
        <v>630</v>
      </c>
      <c r="B621" s="229" t="s">
        <v>51</v>
      </c>
      <c r="C621" s="225" t="s">
        <v>34</v>
      </c>
      <c r="D621" s="226"/>
      <c r="E621" s="226"/>
      <c r="F621" s="226"/>
      <c r="G621" s="226"/>
      <c r="H621" s="226"/>
      <c r="I621" s="226"/>
      <c r="J621" s="226"/>
      <c r="K621" s="226"/>
      <c r="L621" s="226"/>
      <c r="M621" s="226"/>
      <c r="N621" s="230">
        <f>N622</f>
        <v>7.79</v>
      </c>
    </row>
    <row r="622" spans="1:14" x14ac:dyDescent="0.25">
      <c r="A622" s="223"/>
      <c r="B622" s="229"/>
      <c r="C622" s="225"/>
      <c r="D622" s="226"/>
      <c r="E622" s="226"/>
      <c r="F622" s="226"/>
      <c r="G622" s="226"/>
      <c r="H622" s="226"/>
      <c r="I622" s="226"/>
      <c r="J622" s="226"/>
      <c r="K622" s="226"/>
      <c r="L622" s="226"/>
      <c r="M622" s="226">
        <f>DRENAGEM!V52</f>
        <v>7.79</v>
      </c>
      <c r="N622" s="228">
        <f>M622</f>
        <v>7.79</v>
      </c>
    </row>
    <row r="623" spans="1:14" x14ac:dyDescent="0.25">
      <c r="A623" s="223"/>
      <c r="B623" s="229"/>
      <c r="C623" s="225"/>
      <c r="D623" s="226"/>
      <c r="E623" s="226"/>
      <c r="F623" s="226"/>
      <c r="G623" s="226"/>
      <c r="H623" s="226"/>
      <c r="I623" s="226"/>
      <c r="J623" s="226"/>
      <c r="K623" s="226"/>
      <c r="L623" s="226"/>
      <c r="M623" s="226"/>
      <c r="N623" s="230"/>
    </row>
    <row r="624" spans="1:14" ht="89.25" x14ac:dyDescent="0.25">
      <c r="A624" s="223" t="s">
        <v>631</v>
      </c>
      <c r="B624" s="229" t="s">
        <v>266</v>
      </c>
      <c r="C624" s="225" t="s">
        <v>42</v>
      </c>
      <c r="D624" s="226"/>
      <c r="E624" s="226"/>
      <c r="F624" s="226"/>
      <c r="G624" s="226"/>
      <c r="H624" s="226"/>
      <c r="I624" s="226"/>
      <c r="J624" s="226"/>
      <c r="K624" s="226"/>
      <c r="L624" s="226"/>
      <c r="M624" s="226"/>
      <c r="N624" s="230">
        <f>N625</f>
        <v>34.619999999999997</v>
      </c>
    </row>
    <row r="625" spans="1:14" x14ac:dyDescent="0.25">
      <c r="A625" s="223"/>
      <c r="B625" s="229"/>
      <c r="C625" s="225"/>
      <c r="D625" s="226"/>
      <c r="E625" s="226"/>
      <c r="F625" s="226"/>
      <c r="G625" s="226"/>
      <c r="H625" s="226"/>
      <c r="I625" s="226"/>
      <c r="J625" s="226"/>
      <c r="K625" s="226"/>
      <c r="L625" s="226"/>
      <c r="M625" s="226">
        <f>DRENAGEM!C52</f>
        <v>34.619999999999997</v>
      </c>
      <c r="N625" s="228">
        <f>M625</f>
        <v>34.619999999999997</v>
      </c>
    </row>
    <row r="626" spans="1:14" x14ac:dyDescent="0.25">
      <c r="A626" s="223"/>
      <c r="B626" s="229"/>
      <c r="C626" s="225"/>
      <c r="D626" s="226"/>
      <c r="E626" s="226"/>
      <c r="F626" s="226"/>
      <c r="G626" s="226"/>
      <c r="H626" s="226"/>
      <c r="I626" s="226"/>
      <c r="J626" s="226"/>
      <c r="K626" s="226"/>
      <c r="L626" s="226"/>
      <c r="M626" s="226"/>
      <c r="N626" s="230"/>
    </row>
    <row r="627" spans="1:14" ht="63.75" x14ac:dyDescent="0.25">
      <c r="A627" s="223" t="s">
        <v>632</v>
      </c>
      <c r="B627" s="229" t="s">
        <v>53</v>
      </c>
      <c r="C627" s="225" t="s">
        <v>30</v>
      </c>
      <c r="D627" s="226"/>
      <c r="E627" s="226"/>
      <c r="F627" s="226"/>
      <c r="G627" s="226"/>
      <c r="H627" s="226"/>
      <c r="I627" s="226"/>
      <c r="J627" s="226"/>
      <c r="K627" s="226"/>
      <c r="L627" s="226"/>
      <c r="M627" s="226"/>
      <c r="N627" s="230">
        <f>N628</f>
        <v>7.79</v>
      </c>
    </row>
    <row r="628" spans="1:14" x14ac:dyDescent="0.25">
      <c r="A628" s="223"/>
      <c r="B628" s="229"/>
      <c r="C628" s="225"/>
      <c r="D628" s="226"/>
      <c r="E628" s="226"/>
      <c r="F628" s="226"/>
      <c r="G628" s="226"/>
      <c r="H628" s="226"/>
      <c r="I628" s="226"/>
      <c r="J628" s="226"/>
      <c r="K628" s="226"/>
      <c r="L628" s="226"/>
      <c r="M628" s="226">
        <f>DRENAGEM!X52</f>
        <v>7.79</v>
      </c>
      <c r="N628" s="228">
        <f>M628</f>
        <v>7.79</v>
      </c>
    </row>
    <row r="629" spans="1:14" x14ac:dyDescent="0.25">
      <c r="A629" s="223"/>
      <c r="B629" s="229"/>
      <c r="C629" s="225"/>
      <c r="D629" s="226"/>
      <c r="E629" s="226"/>
      <c r="F629" s="226"/>
      <c r="G629" s="226"/>
      <c r="H629" s="226"/>
      <c r="I629" s="226"/>
      <c r="J629" s="226"/>
      <c r="K629" s="226"/>
      <c r="L629" s="226"/>
      <c r="M629" s="226"/>
      <c r="N629" s="230"/>
    </row>
    <row r="630" spans="1:14" ht="38.25" x14ac:dyDescent="0.25">
      <c r="A630" s="223" t="s">
        <v>633</v>
      </c>
      <c r="B630" s="229" t="s">
        <v>271</v>
      </c>
      <c r="C630" s="225" t="s">
        <v>34</v>
      </c>
      <c r="D630" s="226"/>
      <c r="E630" s="226"/>
      <c r="F630" s="226"/>
      <c r="G630" s="226"/>
      <c r="H630" s="226"/>
      <c r="I630" s="226"/>
      <c r="J630" s="226"/>
      <c r="K630" s="226"/>
      <c r="L630" s="226"/>
      <c r="M630" s="226"/>
      <c r="N630" s="230">
        <f>N631</f>
        <v>71.099999999999994</v>
      </c>
    </row>
    <row r="631" spans="1:14" x14ac:dyDescent="0.25">
      <c r="A631" s="223"/>
      <c r="B631" s="229"/>
      <c r="C631" s="225"/>
      <c r="D631" s="226"/>
      <c r="E631" s="226"/>
      <c r="F631" s="226"/>
      <c r="G631" s="226"/>
      <c r="H631" s="226"/>
      <c r="I631" s="226"/>
      <c r="J631" s="226"/>
      <c r="K631" s="226"/>
      <c r="L631" s="226"/>
      <c r="M631" s="226">
        <f>DRENAGEM!W52</f>
        <v>71.099999999999994</v>
      </c>
      <c r="N631" s="228">
        <f>M631</f>
        <v>71.099999999999994</v>
      </c>
    </row>
    <row r="632" spans="1:14" x14ac:dyDescent="0.25">
      <c r="A632" s="223"/>
      <c r="B632" s="229"/>
      <c r="C632" s="225"/>
      <c r="D632" s="226"/>
      <c r="E632" s="226"/>
      <c r="F632" s="226"/>
      <c r="G632" s="226"/>
      <c r="H632" s="226"/>
      <c r="I632" s="226"/>
      <c r="J632" s="226"/>
      <c r="K632" s="226"/>
      <c r="L632" s="226"/>
      <c r="M632" s="226"/>
      <c r="N632" s="230"/>
    </row>
    <row r="633" spans="1:14" ht="76.5" x14ac:dyDescent="0.25">
      <c r="A633" s="223" t="s">
        <v>634</v>
      </c>
      <c r="B633" s="229" t="s">
        <v>45</v>
      </c>
      <c r="C633" s="225" t="s">
        <v>34</v>
      </c>
      <c r="D633" s="226"/>
      <c r="E633" s="226"/>
      <c r="F633" s="226"/>
      <c r="G633" s="226"/>
      <c r="H633" s="226"/>
      <c r="I633" s="226"/>
      <c r="J633" s="226"/>
      <c r="K633" s="226"/>
      <c r="L633" s="226"/>
      <c r="M633" s="226"/>
      <c r="N633" s="230">
        <f>N634</f>
        <v>14.59</v>
      </c>
    </row>
    <row r="634" spans="1:14" x14ac:dyDescent="0.25">
      <c r="A634" s="223"/>
      <c r="B634" s="229"/>
      <c r="C634" s="225"/>
      <c r="D634" s="226"/>
      <c r="E634" s="226"/>
      <c r="F634" s="226"/>
      <c r="G634" s="226"/>
      <c r="H634" s="226"/>
      <c r="I634" s="226"/>
      <c r="J634" s="226"/>
      <c r="K634" s="226"/>
      <c r="L634" s="226"/>
      <c r="M634" s="226">
        <f>DRENAGEM!Y52</f>
        <v>14.59</v>
      </c>
      <c r="N634" s="228">
        <f>M634</f>
        <v>14.59</v>
      </c>
    </row>
    <row r="635" spans="1:14" x14ac:dyDescent="0.25">
      <c r="A635" s="223"/>
      <c r="B635" s="229"/>
      <c r="C635" s="225"/>
      <c r="D635" s="226"/>
      <c r="E635" s="226"/>
      <c r="F635" s="226"/>
      <c r="G635" s="226"/>
      <c r="H635" s="226"/>
      <c r="I635" s="226"/>
      <c r="J635" s="226"/>
      <c r="K635" s="226"/>
      <c r="L635" s="226"/>
      <c r="M635" s="226"/>
      <c r="N635" s="230"/>
    </row>
    <row r="636" spans="1:14" ht="38.25" x14ac:dyDescent="0.25">
      <c r="A636" s="223" t="s">
        <v>635</v>
      </c>
      <c r="B636" s="229" t="s">
        <v>54</v>
      </c>
      <c r="C636" s="225" t="s">
        <v>55</v>
      </c>
      <c r="D636" s="226"/>
      <c r="E636" s="237" t="s">
        <v>281</v>
      </c>
      <c r="F636" s="226"/>
      <c r="G636" s="226"/>
      <c r="H636" s="226"/>
      <c r="I636" s="226"/>
      <c r="J636" s="226"/>
      <c r="K636" s="239" t="s">
        <v>280</v>
      </c>
      <c r="L636" s="226"/>
      <c r="M636" s="226"/>
      <c r="N636" s="230">
        <f>N637</f>
        <v>14.59</v>
      </c>
    </row>
    <row r="637" spans="1:14" x14ac:dyDescent="0.25">
      <c r="A637" s="223"/>
      <c r="B637" s="229"/>
      <c r="C637" s="225"/>
      <c r="D637" s="226"/>
      <c r="E637" s="226">
        <v>5</v>
      </c>
      <c r="F637" s="226"/>
      <c r="G637" s="226"/>
      <c r="H637" s="226"/>
      <c r="I637" s="226"/>
      <c r="J637" s="226"/>
      <c r="K637" s="238">
        <v>1.25</v>
      </c>
      <c r="L637" s="226"/>
      <c r="M637" s="226">
        <f>M634</f>
        <v>14.59</v>
      </c>
      <c r="N637" s="228">
        <f>M637</f>
        <v>14.59</v>
      </c>
    </row>
    <row r="638" spans="1:14" x14ac:dyDescent="0.25">
      <c r="A638" s="223"/>
      <c r="B638" s="229"/>
      <c r="C638" s="225"/>
      <c r="D638" s="226"/>
      <c r="E638" s="226"/>
      <c r="F638" s="226"/>
      <c r="G638" s="226"/>
      <c r="H638" s="226"/>
      <c r="I638" s="226"/>
      <c r="J638" s="226"/>
      <c r="K638" s="226"/>
      <c r="L638" s="226"/>
      <c r="M638" s="226"/>
      <c r="N638" s="230"/>
    </row>
    <row r="639" spans="1:14" ht="63.75" x14ac:dyDescent="0.25">
      <c r="A639" s="223" t="s">
        <v>636</v>
      </c>
      <c r="B639" s="229" t="s">
        <v>275</v>
      </c>
      <c r="C639" s="225" t="s">
        <v>30</v>
      </c>
      <c r="D639" s="226"/>
      <c r="E639" s="226"/>
      <c r="F639" s="226"/>
      <c r="G639" s="226"/>
      <c r="H639" s="226"/>
      <c r="I639" s="226"/>
      <c r="J639" s="226"/>
      <c r="K639" s="226"/>
      <c r="L639" s="226"/>
      <c r="M639" s="226"/>
      <c r="N639" s="230">
        <f>N640</f>
        <v>103.86</v>
      </c>
    </row>
    <row r="640" spans="1:14" x14ac:dyDescent="0.25">
      <c r="A640" s="223"/>
      <c r="B640" s="229"/>
      <c r="C640" s="225"/>
      <c r="D640" s="226"/>
      <c r="E640" s="226"/>
      <c r="F640" s="226"/>
      <c r="G640" s="226">
        <f>DRENAGEM!Z52</f>
        <v>103.86</v>
      </c>
      <c r="H640" s="226"/>
      <c r="I640" s="226"/>
      <c r="J640" s="226"/>
      <c r="K640" s="226"/>
      <c r="L640" s="226"/>
      <c r="M640" s="226"/>
      <c r="N640" s="228">
        <f>G640</f>
        <v>103.86</v>
      </c>
    </row>
    <row r="641" spans="1:14" x14ac:dyDescent="0.25">
      <c r="A641" s="223"/>
      <c r="B641" s="229"/>
      <c r="C641" s="225"/>
      <c r="D641" s="226"/>
      <c r="E641" s="226"/>
      <c r="F641" s="226"/>
      <c r="G641" s="226"/>
      <c r="H641" s="226"/>
      <c r="I641" s="226"/>
      <c r="J641" s="226"/>
      <c r="K641" s="226"/>
      <c r="L641" s="226"/>
      <c r="M641" s="226"/>
      <c r="N641" s="230"/>
    </row>
    <row r="642" spans="1:14" ht="63.75" x14ac:dyDescent="0.25">
      <c r="A642" s="223" t="s">
        <v>637</v>
      </c>
      <c r="B642" s="229" t="s">
        <v>58</v>
      </c>
      <c r="C642" s="225" t="s">
        <v>42</v>
      </c>
      <c r="D642" s="226"/>
      <c r="E642" s="226"/>
      <c r="F642" s="226"/>
      <c r="G642" s="226"/>
      <c r="H642" s="226"/>
      <c r="I642" s="226"/>
      <c r="J642" s="226"/>
      <c r="K642" s="226"/>
      <c r="L642" s="226"/>
      <c r="M642" s="226"/>
      <c r="N642" s="230">
        <f>N643</f>
        <v>1.8</v>
      </c>
    </row>
    <row r="643" spans="1:14" x14ac:dyDescent="0.25">
      <c r="A643" s="223"/>
      <c r="B643" s="229"/>
      <c r="C643" s="225"/>
      <c r="D643" s="226"/>
      <c r="E643" s="226"/>
      <c r="F643" s="226">
        <v>0.6</v>
      </c>
      <c r="G643" s="226"/>
      <c r="H643" s="226"/>
      <c r="I643" s="226">
        <v>3</v>
      </c>
      <c r="J643" s="226"/>
      <c r="K643" s="226"/>
      <c r="L643" s="226"/>
      <c r="M643" s="226"/>
      <c r="N643" s="228">
        <f>F643*I643</f>
        <v>1.8</v>
      </c>
    </row>
    <row r="644" spans="1:14" x14ac:dyDescent="0.25">
      <c r="A644" s="223"/>
      <c r="B644" s="229"/>
      <c r="C644" s="225"/>
      <c r="D644" s="226"/>
      <c r="E644" s="226"/>
      <c r="F644" s="226"/>
      <c r="G644" s="226"/>
      <c r="H644" s="226"/>
      <c r="I644" s="226"/>
      <c r="J644" s="226"/>
      <c r="K644" s="226"/>
      <c r="L644" s="226"/>
      <c r="M644" s="226"/>
      <c r="N644" s="230"/>
    </row>
    <row r="645" spans="1:14" ht="63.75" x14ac:dyDescent="0.25">
      <c r="A645" s="223" t="s">
        <v>638</v>
      </c>
      <c r="B645" s="229" t="s">
        <v>273</v>
      </c>
      <c r="C645" s="225" t="s">
        <v>57</v>
      </c>
      <c r="D645" s="226"/>
      <c r="E645" s="226"/>
      <c r="F645" s="226"/>
      <c r="G645" s="226"/>
      <c r="H645" s="226"/>
      <c r="I645" s="226"/>
      <c r="J645" s="226"/>
      <c r="K645" s="226"/>
      <c r="L645" s="226"/>
      <c r="M645" s="226"/>
      <c r="N645" s="230">
        <f>N646</f>
        <v>3</v>
      </c>
    </row>
    <row r="646" spans="1:14" x14ac:dyDescent="0.25">
      <c r="A646" s="223"/>
      <c r="B646" s="229"/>
      <c r="C646" s="225"/>
      <c r="D646" s="226"/>
      <c r="E646" s="226"/>
      <c r="F646" s="226"/>
      <c r="G646" s="226"/>
      <c r="H646" s="226"/>
      <c r="I646" s="226">
        <v>3</v>
      </c>
      <c r="J646" s="226"/>
      <c r="K646" s="226"/>
      <c r="L646" s="226"/>
      <c r="M646" s="226"/>
      <c r="N646" s="228">
        <f>I646</f>
        <v>3</v>
      </c>
    </row>
    <row r="647" spans="1:14" x14ac:dyDescent="0.25">
      <c r="A647" s="223"/>
      <c r="B647" s="229"/>
      <c r="C647" s="225"/>
      <c r="D647" s="226"/>
      <c r="E647" s="226"/>
      <c r="F647" s="226"/>
      <c r="G647" s="226"/>
      <c r="H647" s="226"/>
      <c r="I647" s="226"/>
      <c r="J647" s="226"/>
      <c r="K647" s="226"/>
      <c r="L647" s="226"/>
      <c r="M647" s="226"/>
      <c r="N647" s="230"/>
    </row>
    <row r="648" spans="1:14" ht="63.75" x14ac:dyDescent="0.25">
      <c r="A648" s="223" t="s">
        <v>639</v>
      </c>
      <c r="B648" s="229" t="s">
        <v>445</v>
      </c>
      <c r="C648" s="225" t="s">
        <v>57</v>
      </c>
      <c r="D648" s="226"/>
      <c r="E648" s="226"/>
      <c r="F648" s="226"/>
      <c r="G648" s="226"/>
      <c r="H648" s="226"/>
      <c r="I648" s="226"/>
      <c r="J648" s="226"/>
      <c r="K648" s="226"/>
      <c r="L648" s="226"/>
      <c r="M648" s="226"/>
      <c r="N648" s="230">
        <f>N649</f>
        <v>3</v>
      </c>
    </row>
    <row r="649" spans="1:14" x14ac:dyDescent="0.25">
      <c r="A649" s="223"/>
      <c r="B649" s="229"/>
      <c r="C649" s="225"/>
      <c r="D649" s="226"/>
      <c r="E649" s="226"/>
      <c r="F649" s="226"/>
      <c r="G649" s="226"/>
      <c r="H649" s="226"/>
      <c r="I649" s="226">
        <v>3</v>
      </c>
      <c r="J649" s="226"/>
      <c r="K649" s="226"/>
      <c r="L649" s="226"/>
      <c r="M649" s="226"/>
      <c r="N649" s="228">
        <f>I649</f>
        <v>3</v>
      </c>
    </row>
    <row r="650" spans="1:14" x14ac:dyDescent="0.25">
      <c r="A650" s="223"/>
      <c r="B650" s="229"/>
      <c r="C650" s="225"/>
      <c r="D650" s="226"/>
      <c r="E650" s="226"/>
      <c r="F650" s="226"/>
      <c r="G650" s="226"/>
      <c r="H650" s="226"/>
      <c r="I650" s="226"/>
      <c r="J650" s="226"/>
      <c r="K650" s="226"/>
      <c r="L650" s="226"/>
      <c r="M650" s="226"/>
      <c r="N650" s="230"/>
    </row>
    <row r="651" spans="1:14" ht="51" x14ac:dyDescent="0.25">
      <c r="A651" s="223" t="s">
        <v>640</v>
      </c>
      <c r="B651" s="229" t="s">
        <v>274</v>
      </c>
      <c r="C651" s="225" t="s">
        <v>57</v>
      </c>
      <c r="D651" s="226"/>
      <c r="E651" s="226"/>
      <c r="F651" s="226"/>
      <c r="G651" s="226"/>
      <c r="H651" s="226"/>
      <c r="I651" s="226"/>
      <c r="J651" s="226"/>
      <c r="K651" s="226"/>
      <c r="L651" s="226"/>
      <c r="M651" s="226"/>
      <c r="N651" s="230">
        <f>N652</f>
        <v>3</v>
      </c>
    </row>
    <row r="652" spans="1:14" x14ac:dyDescent="0.25">
      <c r="A652" s="223"/>
      <c r="B652" s="229"/>
      <c r="C652" s="225"/>
      <c r="D652" s="226"/>
      <c r="E652" s="226"/>
      <c r="F652" s="226"/>
      <c r="G652" s="226"/>
      <c r="H652" s="226"/>
      <c r="I652" s="226">
        <v>3</v>
      </c>
      <c r="J652" s="226"/>
      <c r="K652" s="226"/>
      <c r="L652" s="226"/>
      <c r="M652" s="226"/>
      <c r="N652" s="228">
        <f>I652</f>
        <v>3</v>
      </c>
    </row>
    <row r="653" spans="1:14" x14ac:dyDescent="0.25">
      <c r="A653" s="223"/>
      <c r="B653" s="229"/>
      <c r="C653" s="225"/>
      <c r="D653" s="226"/>
      <c r="E653" s="226"/>
      <c r="F653" s="226"/>
      <c r="G653" s="226"/>
      <c r="H653" s="226"/>
      <c r="I653" s="226"/>
      <c r="J653" s="226"/>
      <c r="K653" s="226"/>
      <c r="L653" s="226"/>
      <c r="M653" s="226"/>
      <c r="N653" s="230"/>
    </row>
    <row r="654" spans="1:14" x14ac:dyDescent="0.25">
      <c r="A654" s="232" t="s">
        <v>377</v>
      </c>
      <c r="B654" s="233" t="s">
        <v>459</v>
      </c>
      <c r="C654" s="234"/>
      <c r="D654" s="235"/>
      <c r="E654" s="235"/>
      <c r="F654" s="235"/>
      <c r="G654" s="235"/>
      <c r="H654" s="235"/>
      <c r="I654" s="235"/>
      <c r="J654" s="235"/>
      <c r="K654" s="235"/>
      <c r="L654" s="235"/>
      <c r="M654" s="235"/>
      <c r="N654" s="236"/>
    </row>
    <row r="655" spans="1:14" x14ac:dyDescent="0.25">
      <c r="A655" s="231" t="s">
        <v>378</v>
      </c>
      <c r="B655" s="224" t="s">
        <v>33</v>
      </c>
      <c r="C655" s="225"/>
      <c r="D655" s="226"/>
      <c r="E655" s="226"/>
      <c r="F655" s="226"/>
      <c r="G655" s="226"/>
      <c r="H655" s="226"/>
      <c r="I655" s="226"/>
      <c r="J655" s="226"/>
      <c r="K655" s="226"/>
      <c r="L655" s="226"/>
      <c r="M655" s="226"/>
      <c r="N655" s="230"/>
    </row>
    <row r="656" spans="1:14" ht="51" x14ac:dyDescent="0.25">
      <c r="A656" s="223" t="s">
        <v>379</v>
      </c>
      <c r="B656" s="229" t="s">
        <v>270</v>
      </c>
      <c r="C656" s="225" t="s">
        <v>34</v>
      </c>
      <c r="D656" s="226"/>
      <c r="E656" s="226"/>
      <c r="F656" s="226"/>
      <c r="G656" s="226"/>
      <c r="H656" s="226"/>
      <c r="I656" s="226"/>
      <c r="J656" s="226"/>
      <c r="K656" s="226"/>
      <c r="L656" s="226"/>
      <c r="M656" s="226"/>
      <c r="N656" s="230">
        <f>N657</f>
        <v>69.64</v>
      </c>
    </row>
    <row r="657" spans="1:14" x14ac:dyDescent="0.25">
      <c r="A657" s="223"/>
      <c r="B657" s="224" t="s">
        <v>279</v>
      </c>
      <c r="C657" s="225"/>
      <c r="D657" s="226"/>
      <c r="E657" s="226"/>
      <c r="F657" s="226"/>
      <c r="G657" s="226"/>
      <c r="H657" s="226"/>
      <c r="I657" s="226"/>
      <c r="J657" s="226"/>
      <c r="K657" s="226"/>
      <c r="L657" s="226"/>
      <c r="M657" s="226">
        <f>'MAPA DE CUBAÇÃO'!I304</f>
        <v>69.64</v>
      </c>
      <c r="N657" s="228">
        <f>M657</f>
        <v>69.64</v>
      </c>
    </row>
    <row r="658" spans="1:14" x14ac:dyDescent="0.25">
      <c r="A658" s="223"/>
      <c r="B658" s="229"/>
      <c r="C658" s="225"/>
      <c r="D658" s="226"/>
      <c r="E658" s="226"/>
      <c r="F658" s="226"/>
      <c r="G658" s="226"/>
      <c r="H658" s="226"/>
      <c r="I658" s="226"/>
      <c r="J658" s="226"/>
      <c r="K658" s="226"/>
      <c r="L658" s="226"/>
      <c r="M658" s="226"/>
      <c r="N658" s="230"/>
    </row>
    <row r="659" spans="1:14" ht="76.5" x14ac:dyDescent="0.25">
      <c r="A659" s="223" t="s">
        <v>380</v>
      </c>
      <c r="B659" s="229" t="s">
        <v>45</v>
      </c>
      <c r="C659" s="225" t="s">
        <v>34</v>
      </c>
      <c r="D659" s="226"/>
      <c r="E659" s="226"/>
      <c r="F659" s="226"/>
      <c r="G659" s="226"/>
      <c r="H659" s="226"/>
      <c r="I659" s="226"/>
      <c r="J659" s="226"/>
      <c r="K659" s="239" t="s">
        <v>280</v>
      </c>
      <c r="L659" s="226"/>
      <c r="M659" s="226"/>
      <c r="N659" s="230">
        <f>N660</f>
        <v>87.05</v>
      </c>
    </row>
    <row r="660" spans="1:14" x14ac:dyDescent="0.25">
      <c r="A660" s="223"/>
      <c r="B660" s="224" t="s">
        <v>279</v>
      </c>
      <c r="C660" s="225"/>
      <c r="D660" s="226"/>
      <c r="E660" s="226"/>
      <c r="F660" s="226"/>
      <c r="G660" s="226"/>
      <c r="H660" s="226"/>
      <c r="I660" s="226"/>
      <c r="J660" s="226"/>
      <c r="K660" s="238">
        <v>1.25</v>
      </c>
      <c r="L660" s="226"/>
      <c r="M660" s="226">
        <f>N657</f>
        <v>69.64</v>
      </c>
      <c r="N660" s="228">
        <f>K660*M660</f>
        <v>87.05</v>
      </c>
    </row>
    <row r="661" spans="1:14" x14ac:dyDescent="0.25">
      <c r="A661" s="223"/>
      <c r="B661" s="229"/>
      <c r="C661" s="225"/>
      <c r="D661" s="226"/>
      <c r="E661" s="226"/>
      <c r="F661" s="226"/>
      <c r="G661" s="226"/>
      <c r="H661" s="226"/>
      <c r="I661" s="226"/>
      <c r="J661" s="226"/>
      <c r="K661" s="226"/>
      <c r="L661" s="226"/>
      <c r="M661" s="226"/>
      <c r="N661" s="230"/>
    </row>
    <row r="662" spans="1:14" ht="63.75" x14ac:dyDescent="0.25">
      <c r="A662" s="223" t="s">
        <v>381</v>
      </c>
      <c r="B662" s="229" t="s">
        <v>35</v>
      </c>
      <c r="C662" s="225" t="s">
        <v>36</v>
      </c>
      <c r="D662" s="226"/>
      <c r="E662" s="237" t="s">
        <v>281</v>
      </c>
      <c r="F662" s="226"/>
      <c r="G662" s="226"/>
      <c r="H662" s="226"/>
      <c r="I662" s="226"/>
      <c r="J662" s="226"/>
      <c r="K662" s="315"/>
      <c r="L662" s="226"/>
      <c r="M662" s="226"/>
      <c r="N662" s="230">
        <f>N663</f>
        <v>435.25</v>
      </c>
    </row>
    <row r="663" spans="1:14" x14ac:dyDescent="0.25">
      <c r="A663" s="223"/>
      <c r="B663" s="224" t="s">
        <v>279</v>
      </c>
      <c r="C663" s="225"/>
      <c r="D663" s="226"/>
      <c r="E663" s="226">
        <v>5</v>
      </c>
      <c r="F663" s="226"/>
      <c r="G663" s="226"/>
      <c r="H663" s="226"/>
      <c r="I663" s="226"/>
      <c r="J663" s="226"/>
      <c r="K663" s="316"/>
      <c r="L663" s="226"/>
      <c r="M663" s="226">
        <f>N660</f>
        <v>87.05</v>
      </c>
      <c r="N663" s="228">
        <f>M663*E663</f>
        <v>435.25</v>
      </c>
    </row>
    <row r="664" spans="1:14" x14ac:dyDescent="0.25">
      <c r="A664" s="223"/>
      <c r="B664" s="229"/>
      <c r="C664" s="225"/>
      <c r="D664" s="226"/>
      <c r="E664" s="226"/>
      <c r="F664" s="226"/>
      <c r="G664" s="226"/>
      <c r="H664" s="226"/>
      <c r="I664" s="226"/>
      <c r="J664" s="226"/>
      <c r="K664" s="226"/>
      <c r="L664" s="226"/>
      <c r="M664" s="226"/>
      <c r="N664" s="230"/>
    </row>
    <row r="665" spans="1:14" x14ac:dyDescent="0.25">
      <c r="A665" s="231" t="s">
        <v>382</v>
      </c>
      <c r="B665" s="224" t="s">
        <v>40</v>
      </c>
      <c r="C665" s="225"/>
      <c r="D665" s="226"/>
      <c r="E665" s="226"/>
      <c r="F665" s="226"/>
      <c r="G665" s="226"/>
      <c r="H665" s="226"/>
      <c r="I665" s="226"/>
      <c r="J665" s="226"/>
      <c r="K665" s="226"/>
      <c r="L665" s="226"/>
      <c r="M665" s="226"/>
      <c r="N665" s="230"/>
    </row>
    <row r="666" spans="1:14" ht="25.5" x14ac:dyDescent="0.25">
      <c r="A666" s="223" t="s">
        <v>383</v>
      </c>
      <c r="B666" s="229" t="s">
        <v>41</v>
      </c>
      <c r="C666" s="225" t="s">
        <v>42</v>
      </c>
      <c r="D666" s="226"/>
      <c r="E666" s="226"/>
      <c r="F666" s="226"/>
      <c r="G666" s="226"/>
      <c r="H666" s="226"/>
      <c r="I666" s="226"/>
      <c r="J666" s="226"/>
      <c r="K666" s="226"/>
      <c r="L666" s="226"/>
      <c r="M666" s="226"/>
      <c r="N666" s="230">
        <f>N667</f>
        <v>138.75</v>
      </c>
    </row>
    <row r="667" spans="1:14" x14ac:dyDescent="0.25">
      <c r="A667" s="223"/>
      <c r="B667" s="229"/>
      <c r="C667" s="225"/>
      <c r="D667" s="226"/>
      <c r="E667" s="226">
        <f>'MAPA DE CUBAÇÃO'!H291</f>
        <v>138.75</v>
      </c>
      <c r="F667" s="226"/>
      <c r="G667" s="226"/>
      <c r="H667" s="226"/>
      <c r="I667" s="226"/>
      <c r="J667" s="226"/>
      <c r="K667" s="226"/>
      <c r="L667" s="226"/>
      <c r="M667" s="226"/>
      <c r="N667" s="228">
        <f>E667</f>
        <v>138.75</v>
      </c>
    </row>
    <row r="668" spans="1:14" ht="51" x14ac:dyDescent="0.25">
      <c r="A668" s="223" t="s">
        <v>384</v>
      </c>
      <c r="B668" s="229" t="s">
        <v>38</v>
      </c>
      <c r="C668" s="225" t="s">
        <v>30</v>
      </c>
      <c r="D668" s="226"/>
      <c r="E668" s="226"/>
      <c r="F668" s="226"/>
      <c r="G668" s="226"/>
      <c r="H668" s="226"/>
      <c r="I668" s="226"/>
      <c r="J668" s="226"/>
      <c r="K668" s="226"/>
      <c r="L668" s="226"/>
      <c r="M668" s="226"/>
      <c r="N668" s="230">
        <f>N669</f>
        <v>930.55</v>
      </c>
    </row>
    <row r="669" spans="1:14" x14ac:dyDescent="0.25">
      <c r="A669" s="223"/>
      <c r="B669" s="229"/>
      <c r="C669" s="225"/>
      <c r="D669" s="226"/>
      <c r="E669" s="226"/>
      <c r="F669" s="226"/>
      <c r="G669" s="226">
        <v>930.55</v>
      </c>
      <c r="H669" s="226"/>
      <c r="I669" s="226"/>
      <c r="J669" s="226"/>
      <c r="K669" s="226"/>
      <c r="L669" s="226"/>
      <c r="M669" s="226"/>
      <c r="N669" s="228">
        <f>G669</f>
        <v>930.55</v>
      </c>
    </row>
    <row r="670" spans="1:14" x14ac:dyDescent="0.25">
      <c r="A670" s="223"/>
      <c r="B670" s="229"/>
      <c r="C670" s="225"/>
      <c r="D670" s="226"/>
      <c r="E670" s="226"/>
      <c r="F670" s="226"/>
      <c r="G670" s="226"/>
      <c r="H670" s="226"/>
      <c r="I670" s="226"/>
      <c r="J670" s="226"/>
      <c r="K670" s="226"/>
      <c r="L670" s="226"/>
      <c r="M670" s="226"/>
      <c r="N670" s="230"/>
    </row>
    <row r="671" spans="1:14" ht="76.5" x14ac:dyDescent="0.25">
      <c r="A671" s="223" t="s">
        <v>385</v>
      </c>
      <c r="B671" s="229" t="s">
        <v>44</v>
      </c>
      <c r="C671" s="225" t="s">
        <v>30</v>
      </c>
      <c r="D671" s="226"/>
      <c r="E671" s="226"/>
      <c r="F671" s="226"/>
      <c r="G671" s="226"/>
      <c r="H671" s="226"/>
      <c r="I671" s="226"/>
      <c r="J671" s="226"/>
      <c r="K671" s="226"/>
      <c r="L671" s="226"/>
      <c r="M671" s="226"/>
      <c r="N671" s="230">
        <f>N672</f>
        <v>930.55</v>
      </c>
    </row>
    <row r="672" spans="1:14" x14ac:dyDescent="0.25">
      <c r="A672" s="223"/>
      <c r="B672" s="229"/>
      <c r="C672" s="225"/>
      <c r="D672" s="226"/>
      <c r="E672" s="226"/>
      <c r="F672" s="226"/>
      <c r="G672" s="226">
        <v>930.55</v>
      </c>
      <c r="H672" s="226"/>
      <c r="I672" s="226"/>
      <c r="J672" s="226"/>
      <c r="K672" s="226"/>
      <c r="L672" s="226"/>
      <c r="M672" s="226"/>
      <c r="N672" s="228">
        <f>G672</f>
        <v>930.55</v>
      </c>
    </row>
    <row r="673" spans="1:14" x14ac:dyDescent="0.25">
      <c r="A673" s="223"/>
      <c r="B673" s="229"/>
      <c r="C673" s="225"/>
      <c r="D673" s="226"/>
      <c r="E673" s="226"/>
      <c r="F673" s="226"/>
      <c r="G673" s="226"/>
      <c r="H673" s="226"/>
      <c r="I673" s="226"/>
      <c r="J673" s="226"/>
      <c r="K673" s="226"/>
      <c r="L673" s="226"/>
      <c r="M673" s="226"/>
      <c r="N673" s="230"/>
    </row>
    <row r="674" spans="1:14" ht="102" x14ac:dyDescent="0.25">
      <c r="A674" s="223" t="s">
        <v>386</v>
      </c>
      <c r="B674" s="229" t="s">
        <v>49</v>
      </c>
      <c r="C674" s="225" t="s">
        <v>42</v>
      </c>
      <c r="D674" s="226"/>
      <c r="E674" s="226"/>
      <c r="F674" s="226"/>
      <c r="G674" s="226"/>
      <c r="H674" s="226"/>
      <c r="I674" s="226"/>
      <c r="J674" s="226"/>
      <c r="K674" s="226"/>
      <c r="L674" s="226"/>
      <c r="M674" s="226"/>
      <c r="N674" s="230">
        <f>N675</f>
        <v>290.05</v>
      </c>
    </row>
    <row r="675" spans="1:14" x14ac:dyDescent="0.25">
      <c r="A675" s="223"/>
      <c r="B675" s="229"/>
      <c r="C675" s="225"/>
      <c r="D675" s="226"/>
      <c r="E675" s="226">
        <v>290.05</v>
      </c>
      <c r="F675" s="226"/>
      <c r="G675" s="226"/>
      <c r="H675" s="226"/>
      <c r="I675" s="226"/>
      <c r="J675" s="226"/>
      <c r="K675" s="226"/>
      <c r="L675" s="226"/>
      <c r="M675" s="226"/>
      <c r="N675" s="228">
        <f>E675</f>
        <v>290.05</v>
      </c>
    </row>
    <row r="676" spans="1:14" x14ac:dyDescent="0.25">
      <c r="A676" s="223"/>
      <c r="B676" s="229"/>
      <c r="C676" s="225"/>
      <c r="D676" s="226"/>
      <c r="E676" s="226"/>
      <c r="F676" s="226"/>
      <c r="G676" s="226"/>
      <c r="H676" s="226"/>
      <c r="I676" s="226"/>
      <c r="J676" s="226"/>
      <c r="K676" s="226"/>
      <c r="L676" s="226"/>
      <c r="M676" s="226"/>
      <c r="N676" s="230"/>
    </row>
    <row r="677" spans="1:14" x14ac:dyDescent="0.25">
      <c r="A677" s="232" t="s">
        <v>387</v>
      </c>
      <c r="B677" s="233" t="s">
        <v>460</v>
      </c>
      <c r="C677" s="234"/>
      <c r="D677" s="235"/>
      <c r="E677" s="235"/>
      <c r="F677" s="235"/>
      <c r="G677" s="235"/>
      <c r="H677" s="235"/>
      <c r="I677" s="235"/>
      <c r="J677" s="235"/>
      <c r="K677" s="235"/>
      <c r="L677" s="235"/>
      <c r="M677" s="235"/>
      <c r="N677" s="236"/>
    </row>
    <row r="678" spans="1:14" x14ac:dyDescent="0.25">
      <c r="A678" s="231" t="s">
        <v>388</v>
      </c>
      <c r="B678" s="224" t="s">
        <v>33</v>
      </c>
      <c r="C678" s="225"/>
      <c r="D678" s="226"/>
      <c r="E678" s="226"/>
      <c r="F678" s="226"/>
      <c r="G678" s="226"/>
      <c r="H678" s="226"/>
      <c r="I678" s="226"/>
      <c r="J678" s="226"/>
      <c r="K678" s="226"/>
      <c r="L678" s="226"/>
      <c r="M678" s="226"/>
      <c r="N678" s="230"/>
    </row>
    <row r="679" spans="1:14" ht="51" x14ac:dyDescent="0.25">
      <c r="A679" s="223" t="s">
        <v>389</v>
      </c>
      <c r="B679" s="229" t="s">
        <v>270</v>
      </c>
      <c r="C679" s="225" t="s">
        <v>34</v>
      </c>
      <c r="D679" s="226"/>
      <c r="E679" s="226"/>
      <c r="F679" s="226"/>
      <c r="G679" s="226"/>
      <c r="H679" s="226"/>
      <c r="I679" s="226"/>
      <c r="J679" s="226"/>
      <c r="K679" s="226"/>
      <c r="L679" s="226"/>
      <c r="M679" s="226"/>
      <c r="N679" s="230">
        <f>N680</f>
        <v>69.64</v>
      </c>
    </row>
    <row r="680" spans="1:14" x14ac:dyDescent="0.25">
      <c r="A680" s="223"/>
      <c r="B680" s="224" t="s">
        <v>279</v>
      </c>
      <c r="C680" s="225"/>
      <c r="D680" s="226"/>
      <c r="E680" s="226"/>
      <c r="F680" s="226"/>
      <c r="G680" s="226"/>
      <c r="H680" s="226"/>
      <c r="I680" s="226"/>
      <c r="J680" s="226"/>
      <c r="K680" s="226"/>
      <c r="L680" s="226"/>
      <c r="M680" s="226">
        <f>'MAPA DE CUBAÇÃO'!I304</f>
        <v>69.64</v>
      </c>
      <c r="N680" s="228">
        <f>M680</f>
        <v>69.64</v>
      </c>
    </row>
    <row r="681" spans="1:14" x14ac:dyDescent="0.25">
      <c r="A681" s="223"/>
      <c r="B681" s="229"/>
      <c r="C681" s="225"/>
      <c r="D681" s="226"/>
      <c r="E681" s="226"/>
      <c r="F681" s="226"/>
      <c r="G681" s="226"/>
      <c r="H681" s="226"/>
      <c r="I681" s="226"/>
      <c r="J681" s="226"/>
      <c r="K681" s="226"/>
      <c r="L681" s="226"/>
      <c r="M681" s="226"/>
      <c r="N681" s="230"/>
    </row>
    <row r="682" spans="1:14" ht="76.5" x14ac:dyDescent="0.25">
      <c r="A682" s="223" t="s">
        <v>390</v>
      </c>
      <c r="B682" s="229" t="s">
        <v>45</v>
      </c>
      <c r="C682" s="225" t="s">
        <v>34</v>
      </c>
      <c r="D682" s="226"/>
      <c r="E682" s="226"/>
      <c r="F682" s="226"/>
      <c r="G682" s="226"/>
      <c r="H682" s="226"/>
      <c r="I682" s="226"/>
      <c r="J682" s="226"/>
      <c r="K682" s="239" t="s">
        <v>280</v>
      </c>
      <c r="L682" s="226"/>
      <c r="M682" s="226"/>
      <c r="N682" s="230">
        <f>N683</f>
        <v>87.05</v>
      </c>
    </row>
    <row r="683" spans="1:14" x14ac:dyDescent="0.25">
      <c r="A683" s="223"/>
      <c r="B683" s="224" t="s">
        <v>279</v>
      </c>
      <c r="C683" s="225"/>
      <c r="D683" s="226"/>
      <c r="E683" s="226"/>
      <c r="F683" s="226"/>
      <c r="G683" s="226"/>
      <c r="H683" s="226"/>
      <c r="I683" s="226"/>
      <c r="J683" s="226"/>
      <c r="K683" s="238">
        <v>1.25</v>
      </c>
      <c r="L683" s="226"/>
      <c r="M683" s="226">
        <f>N680</f>
        <v>69.64</v>
      </c>
      <c r="N683" s="228">
        <f>K683*M683</f>
        <v>87.05</v>
      </c>
    </row>
    <row r="684" spans="1:14" x14ac:dyDescent="0.25">
      <c r="A684" s="223"/>
      <c r="B684" s="229"/>
      <c r="C684" s="225"/>
      <c r="D684" s="226"/>
      <c r="E684" s="226"/>
      <c r="F684" s="226"/>
      <c r="G684" s="226"/>
      <c r="H684" s="226"/>
      <c r="I684" s="226"/>
      <c r="J684" s="226"/>
      <c r="K684" s="226"/>
      <c r="L684" s="226"/>
      <c r="M684" s="226"/>
      <c r="N684" s="230"/>
    </row>
    <row r="685" spans="1:14" ht="63.75" x14ac:dyDescent="0.25">
      <c r="A685" s="223" t="s">
        <v>391</v>
      </c>
      <c r="B685" s="229" t="s">
        <v>35</v>
      </c>
      <c r="C685" s="225" t="s">
        <v>36</v>
      </c>
      <c r="D685" s="226"/>
      <c r="E685" s="237" t="s">
        <v>281</v>
      </c>
      <c r="F685" s="226"/>
      <c r="G685" s="226"/>
      <c r="H685" s="226"/>
      <c r="I685" s="226"/>
      <c r="J685" s="226"/>
      <c r="K685" s="315"/>
      <c r="L685" s="226"/>
      <c r="M685" s="226"/>
      <c r="N685" s="230">
        <f>N686</f>
        <v>435.25</v>
      </c>
    </row>
    <row r="686" spans="1:14" x14ac:dyDescent="0.25">
      <c r="A686" s="223"/>
      <c r="B686" s="224" t="s">
        <v>279</v>
      </c>
      <c r="C686" s="225"/>
      <c r="D686" s="226"/>
      <c r="E686" s="226">
        <v>5</v>
      </c>
      <c r="F686" s="226"/>
      <c r="G686" s="226"/>
      <c r="H686" s="226"/>
      <c r="I686" s="226"/>
      <c r="J686" s="226"/>
      <c r="K686" s="316"/>
      <c r="L686" s="226"/>
      <c r="M686" s="226">
        <f>N683</f>
        <v>87.05</v>
      </c>
      <c r="N686" s="228">
        <f>M686*E686</f>
        <v>435.25</v>
      </c>
    </row>
    <row r="687" spans="1:14" x14ac:dyDescent="0.25">
      <c r="A687" s="223"/>
      <c r="B687" s="229"/>
      <c r="C687" s="225"/>
      <c r="D687" s="226"/>
      <c r="E687" s="226"/>
      <c r="F687" s="226"/>
      <c r="G687" s="226"/>
      <c r="H687" s="226"/>
      <c r="I687" s="226"/>
      <c r="J687" s="226"/>
      <c r="K687" s="226"/>
      <c r="L687" s="226"/>
      <c r="M687" s="226"/>
      <c r="N687" s="230"/>
    </row>
    <row r="688" spans="1:14" x14ac:dyDescent="0.25">
      <c r="A688" s="231" t="s">
        <v>392</v>
      </c>
      <c r="B688" s="224" t="s">
        <v>40</v>
      </c>
      <c r="C688" s="225"/>
      <c r="D688" s="226"/>
      <c r="E688" s="226"/>
      <c r="F688" s="226"/>
      <c r="G688" s="226"/>
      <c r="H688" s="226"/>
      <c r="I688" s="226"/>
      <c r="J688" s="226"/>
      <c r="K688" s="226"/>
      <c r="L688" s="226"/>
      <c r="M688" s="226"/>
      <c r="N688" s="230"/>
    </row>
    <row r="689" spans="1:14" ht="25.5" x14ac:dyDescent="0.25">
      <c r="A689" s="223" t="s">
        <v>393</v>
      </c>
      <c r="B689" s="229" t="s">
        <v>41</v>
      </c>
      <c r="C689" s="225" t="s">
        <v>42</v>
      </c>
      <c r="D689" s="226"/>
      <c r="E689" s="226"/>
      <c r="F689" s="226"/>
      <c r="G689" s="226"/>
      <c r="H689" s="226"/>
      <c r="I689" s="226"/>
      <c r="J689" s="226"/>
      <c r="K689" s="226"/>
      <c r="L689" s="226"/>
      <c r="M689" s="226"/>
      <c r="N689" s="230">
        <f>N690</f>
        <v>116.07</v>
      </c>
    </row>
    <row r="690" spans="1:14" x14ac:dyDescent="0.25">
      <c r="A690" s="223"/>
      <c r="B690" s="229"/>
      <c r="C690" s="225"/>
      <c r="D690" s="226"/>
      <c r="E690" s="226">
        <f>'MAPA DE CUBAÇÃO'!H304</f>
        <v>116.07</v>
      </c>
      <c r="F690" s="226"/>
      <c r="G690" s="226"/>
      <c r="H690" s="226"/>
      <c r="I690" s="226"/>
      <c r="J690" s="226"/>
      <c r="K690" s="226"/>
      <c r="L690" s="226"/>
      <c r="M690" s="226"/>
      <c r="N690" s="228">
        <f>E690</f>
        <v>116.07</v>
      </c>
    </row>
    <row r="691" spans="1:14" ht="51" x14ac:dyDescent="0.25">
      <c r="A691" s="223" t="s">
        <v>394</v>
      </c>
      <c r="B691" s="229" t="s">
        <v>38</v>
      </c>
      <c r="C691" s="225" t="s">
        <v>30</v>
      </c>
      <c r="D691" s="226"/>
      <c r="E691" s="226"/>
      <c r="F691" s="226"/>
      <c r="G691" s="226"/>
      <c r="H691" s="226"/>
      <c r="I691" s="226"/>
      <c r="J691" s="226"/>
      <c r="K691" s="226"/>
      <c r="L691" s="226"/>
      <c r="M691" s="226"/>
      <c r="N691" s="230">
        <f>N692</f>
        <v>1093.8</v>
      </c>
    </row>
    <row r="692" spans="1:14" x14ac:dyDescent="0.25">
      <c r="A692" s="223"/>
      <c r="B692" s="229"/>
      <c r="C692" s="225"/>
      <c r="D692" s="226"/>
      <c r="E692" s="226"/>
      <c r="F692" s="226"/>
      <c r="G692" s="226">
        <v>1093.8</v>
      </c>
      <c r="H692" s="226"/>
      <c r="I692" s="226"/>
      <c r="J692" s="226"/>
      <c r="K692" s="226"/>
      <c r="L692" s="226"/>
      <c r="M692" s="226"/>
      <c r="N692" s="228">
        <f>G692</f>
        <v>1093.8</v>
      </c>
    </row>
    <row r="693" spans="1:14" x14ac:dyDescent="0.25">
      <c r="A693" s="223"/>
      <c r="B693" s="229"/>
      <c r="C693" s="225"/>
      <c r="D693" s="226"/>
      <c r="E693" s="226"/>
      <c r="F693" s="226"/>
      <c r="G693" s="226"/>
      <c r="H693" s="226"/>
      <c r="I693" s="226"/>
      <c r="J693" s="226"/>
      <c r="K693" s="226"/>
      <c r="L693" s="226"/>
      <c r="M693" s="226"/>
      <c r="N693" s="230"/>
    </row>
    <row r="694" spans="1:14" ht="76.5" x14ac:dyDescent="0.25">
      <c r="A694" s="223" t="s">
        <v>395</v>
      </c>
      <c r="B694" s="229" t="s">
        <v>44</v>
      </c>
      <c r="C694" s="225" t="s">
        <v>30</v>
      </c>
      <c r="D694" s="226"/>
      <c r="E694" s="226"/>
      <c r="F694" s="226"/>
      <c r="G694" s="226"/>
      <c r="H694" s="226"/>
      <c r="I694" s="226"/>
      <c r="J694" s="226"/>
      <c r="K694" s="226"/>
      <c r="L694" s="226"/>
      <c r="M694" s="226"/>
      <c r="N694" s="230">
        <f>N695</f>
        <v>1093.8</v>
      </c>
    </row>
    <row r="695" spans="1:14" x14ac:dyDescent="0.25">
      <c r="A695" s="223"/>
      <c r="B695" s="229"/>
      <c r="C695" s="225"/>
      <c r="D695" s="226"/>
      <c r="E695" s="226"/>
      <c r="F695" s="226"/>
      <c r="G695" s="226">
        <v>1093.8</v>
      </c>
      <c r="H695" s="226"/>
      <c r="I695" s="226"/>
      <c r="J695" s="226"/>
      <c r="K695" s="226"/>
      <c r="L695" s="226"/>
      <c r="M695" s="226"/>
      <c r="N695" s="228">
        <f>G695</f>
        <v>1093.8</v>
      </c>
    </row>
    <row r="696" spans="1:14" x14ac:dyDescent="0.25">
      <c r="A696" s="223"/>
      <c r="B696" s="229"/>
      <c r="C696" s="225"/>
      <c r="D696" s="226"/>
      <c r="E696" s="226"/>
      <c r="F696" s="226"/>
      <c r="G696" s="226"/>
      <c r="H696" s="226"/>
      <c r="I696" s="226"/>
      <c r="J696" s="226"/>
      <c r="K696" s="226"/>
      <c r="L696" s="226"/>
      <c r="M696" s="226"/>
      <c r="N696" s="230"/>
    </row>
    <row r="697" spans="1:14" ht="102" x14ac:dyDescent="0.25">
      <c r="A697" s="223" t="s">
        <v>396</v>
      </c>
      <c r="B697" s="229" t="s">
        <v>49</v>
      </c>
      <c r="C697" s="225" t="s">
        <v>42</v>
      </c>
      <c r="D697" s="226"/>
      <c r="E697" s="226"/>
      <c r="F697" s="226"/>
      <c r="G697" s="226"/>
      <c r="H697" s="226"/>
      <c r="I697" s="226"/>
      <c r="J697" s="226"/>
      <c r="K697" s="226"/>
      <c r="L697" s="226"/>
      <c r="M697" s="226"/>
      <c r="N697" s="230">
        <f>N698</f>
        <v>335.93</v>
      </c>
    </row>
    <row r="698" spans="1:14" x14ac:dyDescent="0.25">
      <c r="A698" s="223"/>
      <c r="B698" s="229"/>
      <c r="C698" s="225"/>
      <c r="D698" s="226"/>
      <c r="E698" s="226">
        <v>335.93</v>
      </c>
      <c r="F698" s="226"/>
      <c r="G698" s="226"/>
      <c r="H698" s="226"/>
      <c r="I698" s="226"/>
      <c r="J698" s="226"/>
      <c r="K698" s="226"/>
      <c r="L698" s="226"/>
      <c r="M698" s="226"/>
      <c r="N698" s="228">
        <f>E698</f>
        <v>335.93</v>
      </c>
    </row>
    <row r="699" spans="1:14" x14ac:dyDescent="0.25">
      <c r="A699" s="223"/>
      <c r="B699" s="229"/>
      <c r="C699" s="225"/>
      <c r="D699" s="226"/>
      <c r="E699" s="226"/>
      <c r="F699" s="226"/>
      <c r="G699" s="226"/>
      <c r="H699" s="226"/>
      <c r="I699" s="226"/>
      <c r="J699" s="226"/>
      <c r="K699" s="226"/>
      <c r="L699" s="226"/>
      <c r="M699" s="226"/>
      <c r="N699" s="230"/>
    </row>
    <row r="700" spans="1:14" x14ac:dyDescent="0.25">
      <c r="A700" s="231" t="s">
        <v>397</v>
      </c>
      <c r="B700" s="224" t="s">
        <v>471</v>
      </c>
      <c r="C700" s="225"/>
      <c r="D700" s="226"/>
      <c r="E700" s="226"/>
      <c r="F700" s="226"/>
      <c r="G700" s="226"/>
      <c r="H700" s="226"/>
      <c r="I700" s="226"/>
      <c r="J700" s="226"/>
      <c r="K700" s="226"/>
      <c r="L700" s="226"/>
      <c r="M700" s="226"/>
      <c r="N700" s="230"/>
    </row>
    <row r="701" spans="1:14" x14ac:dyDescent="0.25">
      <c r="A701" s="223" t="s">
        <v>398</v>
      </c>
      <c r="B701" s="229" t="s">
        <v>48</v>
      </c>
      <c r="C701" s="225" t="s">
        <v>42</v>
      </c>
      <c r="D701" s="226"/>
      <c r="E701" s="226"/>
      <c r="F701" s="226"/>
      <c r="G701" s="226"/>
      <c r="H701" s="226"/>
      <c r="I701" s="226"/>
      <c r="J701" s="226"/>
      <c r="K701" s="226"/>
      <c r="L701" s="226"/>
      <c r="M701" s="226"/>
      <c r="N701" s="230">
        <f>N702</f>
        <v>119.92</v>
      </c>
    </row>
    <row r="702" spans="1:14" x14ac:dyDescent="0.25">
      <c r="A702" s="223"/>
      <c r="B702" s="229"/>
      <c r="C702" s="225"/>
      <c r="D702" s="226"/>
      <c r="E702" s="226">
        <f>DRENAGEM!C56</f>
        <v>119.92</v>
      </c>
      <c r="F702" s="226"/>
      <c r="G702" s="226"/>
      <c r="H702" s="226"/>
      <c r="I702" s="226"/>
      <c r="J702" s="226"/>
      <c r="K702" s="226"/>
      <c r="L702" s="226"/>
      <c r="M702" s="226"/>
      <c r="N702" s="228">
        <f>E702</f>
        <v>119.92</v>
      </c>
    </row>
    <row r="703" spans="1:14" x14ac:dyDescent="0.25">
      <c r="A703" s="223"/>
      <c r="B703" s="229"/>
      <c r="C703" s="225"/>
      <c r="D703" s="226"/>
      <c r="E703" s="226"/>
      <c r="F703" s="226"/>
      <c r="G703" s="226"/>
      <c r="H703" s="226"/>
      <c r="I703" s="226"/>
      <c r="J703" s="226"/>
      <c r="K703" s="226"/>
      <c r="L703" s="226"/>
      <c r="M703" s="226"/>
      <c r="N703" s="230"/>
    </row>
    <row r="704" spans="1:14" ht="102" x14ac:dyDescent="0.25">
      <c r="A704" s="223" t="s">
        <v>399</v>
      </c>
      <c r="B704" s="229" t="s">
        <v>50</v>
      </c>
      <c r="C704" s="225" t="s">
        <v>34</v>
      </c>
      <c r="D704" s="226"/>
      <c r="E704" s="226"/>
      <c r="F704" s="226"/>
      <c r="G704" s="226"/>
      <c r="H704" s="226"/>
      <c r="I704" s="226"/>
      <c r="J704" s="226"/>
      <c r="K704" s="226"/>
      <c r="L704" s="226"/>
      <c r="M704" s="226"/>
      <c r="N704" s="230">
        <f>N705</f>
        <v>269.83</v>
      </c>
    </row>
    <row r="705" spans="1:14" x14ac:dyDescent="0.25">
      <c r="A705" s="223"/>
      <c r="B705" s="229"/>
      <c r="C705" s="225"/>
      <c r="D705" s="226"/>
      <c r="E705" s="226"/>
      <c r="F705" s="226"/>
      <c r="G705" s="226"/>
      <c r="H705" s="226"/>
      <c r="I705" s="226"/>
      <c r="J705" s="226"/>
      <c r="K705" s="226"/>
      <c r="L705" s="226"/>
      <c r="M705" s="226">
        <f>DRENAGEM!U56</f>
        <v>269.83</v>
      </c>
      <c r="N705" s="228">
        <f>M705</f>
        <v>269.83</v>
      </c>
    </row>
    <row r="706" spans="1:14" x14ac:dyDescent="0.25">
      <c r="A706" s="223"/>
      <c r="B706" s="229"/>
      <c r="C706" s="225"/>
      <c r="D706" s="226"/>
      <c r="E706" s="226"/>
      <c r="F706" s="226"/>
      <c r="G706" s="226"/>
      <c r="H706" s="226"/>
      <c r="I706" s="226"/>
      <c r="J706" s="226"/>
      <c r="K706" s="226"/>
      <c r="L706" s="226"/>
      <c r="M706" s="226"/>
      <c r="N706" s="230"/>
    </row>
    <row r="707" spans="1:14" ht="114.75" x14ac:dyDescent="0.25">
      <c r="A707" s="223" t="s">
        <v>400</v>
      </c>
      <c r="B707" s="229" t="s">
        <v>51</v>
      </c>
      <c r="C707" s="225" t="s">
        <v>34</v>
      </c>
      <c r="D707" s="226"/>
      <c r="E707" s="226"/>
      <c r="F707" s="226"/>
      <c r="G707" s="226"/>
      <c r="H707" s="226"/>
      <c r="I707" s="226"/>
      <c r="J707" s="226"/>
      <c r="K707" s="226"/>
      <c r="L707" s="226"/>
      <c r="M707" s="226"/>
      <c r="N707" s="230">
        <f>N708</f>
        <v>271.14</v>
      </c>
    </row>
    <row r="708" spans="1:14" x14ac:dyDescent="0.25">
      <c r="A708" s="223"/>
      <c r="B708" s="229"/>
      <c r="C708" s="225"/>
      <c r="D708" s="226"/>
      <c r="E708" s="226"/>
      <c r="F708" s="226"/>
      <c r="G708" s="226"/>
      <c r="H708" s="226"/>
      <c r="I708" s="226"/>
      <c r="J708" s="226"/>
      <c r="K708" s="226"/>
      <c r="L708" s="226"/>
      <c r="M708" s="226">
        <f>DRENAGEM!V56</f>
        <v>271.14</v>
      </c>
      <c r="N708" s="228">
        <f>M708</f>
        <v>271.14</v>
      </c>
    </row>
    <row r="709" spans="1:14" x14ac:dyDescent="0.25">
      <c r="A709" s="223"/>
      <c r="B709" s="229"/>
      <c r="C709" s="225"/>
      <c r="D709" s="226"/>
      <c r="E709" s="226"/>
      <c r="F709" s="226"/>
      <c r="G709" s="226"/>
      <c r="H709" s="226"/>
      <c r="I709" s="226"/>
      <c r="J709" s="226"/>
      <c r="K709" s="226"/>
      <c r="L709" s="226"/>
      <c r="M709" s="226"/>
      <c r="N709" s="230"/>
    </row>
    <row r="710" spans="1:14" x14ac:dyDescent="0.25">
      <c r="A710" s="223"/>
      <c r="B710" s="229"/>
      <c r="C710" s="225"/>
      <c r="D710" s="226"/>
      <c r="E710" s="226"/>
      <c r="F710" s="226"/>
      <c r="G710" s="226"/>
      <c r="H710" s="226"/>
      <c r="I710" s="226"/>
      <c r="J710" s="226"/>
      <c r="K710" s="226"/>
      <c r="L710" s="226"/>
      <c r="M710" s="226"/>
      <c r="N710" s="230"/>
    </row>
    <row r="711" spans="1:14" ht="89.25" x14ac:dyDescent="0.25">
      <c r="A711" s="223" t="s">
        <v>401</v>
      </c>
      <c r="B711" s="229" t="s">
        <v>266</v>
      </c>
      <c r="C711" s="225" t="s">
        <v>42</v>
      </c>
      <c r="D711" s="226"/>
      <c r="E711" s="226"/>
      <c r="F711" s="226"/>
      <c r="G711" s="226"/>
      <c r="H711" s="226"/>
      <c r="I711" s="226"/>
      <c r="J711" s="226"/>
      <c r="K711" s="226"/>
      <c r="L711" s="226"/>
      <c r="M711" s="226"/>
      <c r="N711" s="230">
        <f>N712</f>
        <v>21.92</v>
      </c>
    </row>
    <row r="712" spans="1:14" x14ac:dyDescent="0.25">
      <c r="A712" s="223"/>
      <c r="B712" s="229"/>
      <c r="C712" s="225"/>
      <c r="D712" s="226"/>
      <c r="E712" s="226">
        <f>DRENAGEM!C54+DRENAGEM!C55</f>
        <v>21.92</v>
      </c>
      <c r="F712" s="226"/>
      <c r="G712" s="226"/>
      <c r="H712" s="226"/>
      <c r="I712" s="226"/>
      <c r="J712" s="226"/>
      <c r="K712" s="226"/>
      <c r="L712" s="226"/>
      <c r="M712" s="226"/>
      <c r="N712" s="228">
        <f>E712</f>
        <v>21.92</v>
      </c>
    </row>
    <row r="713" spans="1:14" x14ac:dyDescent="0.25">
      <c r="A713" s="223"/>
      <c r="B713" s="229"/>
      <c r="C713" s="225"/>
      <c r="D713" s="226"/>
      <c r="E713" s="226"/>
      <c r="F713" s="226"/>
      <c r="G713" s="226"/>
      <c r="H713" s="226"/>
      <c r="I713" s="226"/>
      <c r="J713" s="226"/>
      <c r="K713" s="226"/>
      <c r="L713" s="226"/>
      <c r="M713" s="226"/>
      <c r="N713" s="230"/>
    </row>
    <row r="714" spans="1:14" ht="89.25" x14ac:dyDescent="0.25">
      <c r="A714" s="223" t="s">
        <v>402</v>
      </c>
      <c r="B714" s="229" t="s">
        <v>52</v>
      </c>
      <c r="C714" s="225" t="s">
        <v>42</v>
      </c>
      <c r="D714" s="226"/>
      <c r="E714" s="226"/>
      <c r="F714" s="226"/>
      <c r="G714" s="226"/>
      <c r="H714" s="226"/>
      <c r="I714" s="226"/>
      <c r="J714" s="226"/>
      <c r="K714" s="226"/>
      <c r="L714" s="226"/>
      <c r="M714" s="226"/>
      <c r="N714" s="230">
        <f>N715</f>
        <v>98</v>
      </c>
    </row>
    <row r="715" spans="1:14" x14ac:dyDescent="0.25">
      <c r="A715" s="223"/>
      <c r="B715" s="229"/>
      <c r="C715" s="225"/>
      <c r="D715" s="226"/>
      <c r="E715" s="226">
        <f>DRENAGEM!C53</f>
        <v>98</v>
      </c>
      <c r="F715" s="226"/>
      <c r="G715" s="226"/>
      <c r="H715" s="226"/>
      <c r="I715" s="226"/>
      <c r="J715" s="226"/>
      <c r="K715" s="226"/>
      <c r="L715" s="226"/>
      <c r="M715" s="226"/>
      <c r="N715" s="228">
        <f>E715</f>
        <v>98</v>
      </c>
    </row>
    <row r="716" spans="1:14" x14ac:dyDescent="0.25">
      <c r="A716" s="223"/>
      <c r="B716" s="229"/>
      <c r="C716" s="225"/>
      <c r="D716" s="226"/>
      <c r="E716" s="226"/>
      <c r="F716" s="226"/>
      <c r="G716" s="226"/>
      <c r="H716" s="226"/>
      <c r="I716" s="226"/>
      <c r="J716" s="226"/>
      <c r="K716" s="226"/>
      <c r="L716" s="226"/>
      <c r="M716" s="226"/>
      <c r="N716" s="230"/>
    </row>
    <row r="717" spans="1:14" ht="63.75" x14ac:dyDescent="0.25">
      <c r="A717" s="223" t="s">
        <v>403</v>
      </c>
      <c r="B717" s="229" t="s">
        <v>53</v>
      </c>
      <c r="C717" s="225" t="s">
        <v>30</v>
      </c>
      <c r="D717" s="226"/>
      <c r="E717" s="226"/>
      <c r="F717" s="226"/>
      <c r="G717" s="226"/>
      <c r="H717" s="226"/>
      <c r="I717" s="226"/>
      <c r="J717" s="226"/>
      <c r="K717" s="226"/>
      <c r="L717" s="226"/>
      <c r="M717" s="226"/>
      <c r="N717" s="230">
        <f>N718</f>
        <v>26.98</v>
      </c>
    </row>
    <row r="718" spans="1:14" x14ac:dyDescent="0.25">
      <c r="A718" s="223"/>
      <c r="B718" s="229"/>
      <c r="C718" s="225"/>
      <c r="D718" s="226"/>
      <c r="E718" s="226"/>
      <c r="F718" s="226"/>
      <c r="G718" s="226"/>
      <c r="H718" s="226"/>
      <c r="I718" s="226"/>
      <c r="J718" s="226"/>
      <c r="K718" s="226"/>
      <c r="L718" s="226"/>
      <c r="M718" s="226">
        <f>DRENAGEM!X56</f>
        <v>26.98</v>
      </c>
      <c r="N718" s="228">
        <f>M718</f>
        <v>26.98</v>
      </c>
    </row>
    <row r="719" spans="1:14" x14ac:dyDescent="0.25">
      <c r="A719" s="223"/>
      <c r="B719" s="229"/>
      <c r="C719" s="225"/>
      <c r="D719" s="226"/>
      <c r="E719" s="226"/>
      <c r="F719" s="226"/>
      <c r="G719" s="226"/>
      <c r="H719" s="226"/>
      <c r="I719" s="226"/>
      <c r="J719" s="226"/>
      <c r="K719" s="226"/>
      <c r="L719" s="226"/>
      <c r="M719" s="226"/>
      <c r="N719" s="230"/>
    </row>
    <row r="720" spans="1:14" ht="38.25" x14ac:dyDescent="0.25">
      <c r="A720" s="223" t="s">
        <v>404</v>
      </c>
      <c r="B720" s="229" t="s">
        <v>271</v>
      </c>
      <c r="C720" s="225" t="s">
        <v>34</v>
      </c>
      <c r="D720" s="226"/>
      <c r="E720" s="226"/>
      <c r="F720" s="226"/>
      <c r="G720" s="226"/>
      <c r="H720" s="226"/>
      <c r="I720" s="226"/>
      <c r="J720" s="226"/>
      <c r="K720" s="226"/>
      <c r="L720" s="226"/>
      <c r="M720" s="226"/>
      <c r="N720" s="230">
        <f>N721</f>
        <v>471.98</v>
      </c>
    </row>
    <row r="721" spans="1:14" x14ac:dyDescent="0.25">
      <c r="A721" s="223"/>
      <c r="B721" s="229"/>
      <c r="C721" s="225"/>
      <c r="D721" s="226"/>
      <c r="E721" s="226"/>
      <c r="F721" s="226"/>
      <c r="G721" s="226"/>
      <c r="H721" s="226"/>
      <c r="I721" s="226"/>
      <c r="J721" s="226"/>
      <c r="K721" s="226"/>
      <c r="L721" s="226"/>
      <c r="M721" s="226">
        <f>DRENAGEM!W56</f>
        <v>471.98</v>
      </c>
      <c r="N721" s="228">
        <f>M721</f>
        <v>471.98</v>
      </c>
    </row>
    <row r="722" spans="1:14" x14ac:dyDescent="0.25">
      <c r="A722" s="223"/>
      <c r="B722" s="229"/>
      <c r="C722" s="225"/>
      <c r="D722" s="226"/>
      <c r="E722" s="226"/>
      <c r="F722" s="226"/>
      <c r="G722" s="226"/>
      <c r="H722" s="226"/>
      <c r="I722" s="226"/>
      <c r="J722" s="226"/>
      <c r="K722" s="226"/>
      <c r="L722" s="226"/>
      <c r="M722" s="226"/>
      <c r="N722" s="230"/>
    </row>
    <row r="723" spans="1:14" ht="76.5" x14ac:dyDescent="0.25">
      <c r="A723" s="223" t="s">
        <v>405</v>
      </c>
      <c r="B723" s="229" t="s">
        <v>45</v>
      </c>
      <c r="C723" s="225" t="s">
        <v>34</v>
      </c>
      <c r="D723" s="226"/>
      <c r="E723" s="226"/>
      <c r="F723" s="226"/>
      <c r="G723" s="226"/>
      <c r="H723" s="226"/>
      <c r="I723" s="226"/>
      <c r="J723" s="226"/>
      <c r="K723" s="226"/>
      <c r="L723" s="226"/>
      <c r="M723" s="226"/>
      <c r="N723" s="230">
        <f>N724</f>
        <v>68.989999999999995</v>
      </c>
    </row>
    <row r="724" spans="1:14" x14ac:dyDescent="0.25">
      <c r="A724" s="223"/>
      <c r="B724" s="229"/>
      <c r="C724" s="225"/>
      <c r="D724" s="226"/>
      <c r="E724" s="226"/>
      <c r="F724" s="226"/>
      <c r="G724" s="226"/>
      <c r="H724" s="226"/>
      <c r="I724" s="226"/>
      <c r="J724" s="226"/>
      <c r="K724" s="226"/>
      <c r="L724" s="226"/>
      <c r="M724" s="226">
        <f>DRENAGEM!Y56</f>
        <v>68.989999999999995</v>
      </c>
      <c r="N724" s="228">
        <f>M724</f>
        <v>68.989999999999995</v>
      </c>
    </row>
    <row r="725" spans="1:14" x14ac:dyDescent="0.25">
      <c r="A725" s="223"/>
      <c r="B725" s="229"/>
      <c r="C725" s="225"/>
      <c r="D725" s="226"/>
      <c r="E725" s="226"/>
      <c r="F725" s="226"/>
      <c r="G725" s="226"/>
      <c r="H725" s="226"/>
      <c r="I725" s="226"/>
      <c r="J725" s="226"/>
      <c r="K725" s="226"/>
      <c r="L725" s="226"/>
      <c r="M725" s="226"/>
      <c r="N725" s="230"/>
    </row>
    <row r="726" spans="1:14" ht="38.25" x14ac:dyDescent="0.25">
      <c r="A726" s="223" t="s">
        <v>472</v>
      </c>
      <c r="B726" s="229" t="s">
        <v>54</v>
      </c>
      <c r="C726" s="225" t="s">
        <v>55</v>
      </c>
      <c r="D726" s="226"/>
      <c r="E726" s="237" t="s">
        <v>281</v>
      </c>
      <c r="F726" s="226"/>
      <c r="G726" s="226"/>
      <c r="H726" s="226"/>
      <c r="I726" s="226"/>
      <c r="J726" s="226"/>
      <c r="K726" s="239" t="s">
        <v>280</v>
      </c>
      <c r="L726" s="226"/>
      <c r="M726" s="226"/>
      <c r="N726" s="230">
        <f>N727</f>
        <v>431.19</v>
      </c>
    </row>
    <row r="727" spans="1:14" x14ac:dyDescent="0.25">
      <c r="A727" s="223"/>
      <c r="B727" s="229"/>
      <c r="C727" s="225"/>
      <c r="D727" s="226"/>
      <c r="E727" s="226">
        <v>5</v>
      </c>
      <c r="F727" s="226"/>
      <c r="G727" s="226"/>
      <c r="H727" s="226"/>
      <c r="I727" s="226"/>
      <c r="J727" s="226"/>
      <c r="K727" s="238">
        <v>1.25</v>
      </c>
      <c r="L727" s="226"/>
      <c r="M727" s="226">
        <f>M724</f>
        <v>68.989999999999995</v>
      </c>
      <c r="N727" s="228">
        <f>E727*K727*M727</f>
        <v>431.19</v>
      </c>
    </row>
    <row r="728" spans="1:14" x14ac:dyDescent="0.25">
      <c r="A728" s="223"/>
      <c r="B728" s="229"/>
      <c r="C728" s="225"/>
      <c r="D728" s="226"/>
      <c r="E728" s="226"/>
      <c r="F728" s="226"/>
      <c r="G728" s="226"/>
      <c r="H728" s="226"/>
      <c r="I728" s="226"/>
      <c r="J728" s="226"/>
      <c r="K728" s="226"/>
      <c r="L728" s="226"/>
      <c r="M728" s="226"/>
      <c r="N728" s="230"/>
    </row>
    <row r="729" spans="1:14" ht="63.75" x14ac:dyDescent="0.25">
      <c r="A729" s="223" t="s">
        <v>473</v>
      </c>
      <c r="B729" s="229" t="s">
        <v>275</v>
      </c>
      <c r="C729" s="225" t="s">
        <v>30</v>
      </c>
      <c r="D729" s="226"/>
      <c r="E729" s="226"/>
      <c r="F729" s="226"/>
      <c r="G729" s="226"/>
      <c r="H729" s="226"/>
      <c r="I729" s="226"/>
      <c r="J729" s="226"/>
      <c r="K729" s="226"/>
      <c r="L729" s="226"/>
      <c r="M729" s="226"/>
      <c r="N729" s="230">
        <f>N730</f>
        <v>685.29</v>
      </c>
    </row>
    <row r="730" spans="1:14" x14ac:dyDescent="0.25">
      <c r="A730" s="223"/>
      <c r="B730" s="229"/>
      <c r="C730" s="225"/>
      <c r="D730" s="226"/>
      <c r="E730" s="226"/>
      <c r="F730" s="226"/>
      <c r="G730" s="226">
        <f>DRENAGEM!Z56</f>
        <v>685.29</v>
      </c>
      <c r="H730" s="226"/>
      <c r="I730" s="226"/>
      <c r="J730" s="226"/>
      <c r="K730" s="226"/>
      <c r="L730" s="226"/>
      <c r="M730" s="226"/>
      <c r="N730" s="228">
        <f>G730</f>
        <v>685.29</v>
      </c>
    </row>
    <row r="731" spans="1:14" x14ac:dyDescent="0.25">
      <c r="A731" s="223"/>
      <c r="B731" s="229"/>
      <c r="C731" s="225"/>
      <c r="D731" s="226"/>
      <c r="E731" s="226"/>
      <c r="F731" s="226"/>
      <c r="G731" s="226"/>
      <c r="H731" s="226"/>
      <c r="I731" s="226"/>
      <c r="J731" s="226"/>
      <c r="K731" s="226"/>
      <c r="L731" s="226"/>
      <c r="M731" s="226"/>
      <c r="N731" s="230"/>
    </row>
    <row r="732" spans="1:14" ht="76.5" x14ac:dyDescent="0.25">
      <c r="A732" s="223" t="s">
        <v>474</v>
      </c>
      <c r="B732" s="229" t="s">
        <v>56</v>
      </c>
      <c r="C732" s="225" t="s">
        <v>57</v>
      </c>
      <c r="D732" s="226"/>
      <c r="E732" s="226"/>
      <c r="F732" s="226"/>
      <c r="G732" s="226"/>
      <c r="H732" s="226"/>
      <c r="I732" s="226"/>
      <c r="J732" s="226"/>
      <c r="K732" s="226"/>
      <c r="L732" s="226"/>
      <c r="M732" s="226"/>
      <c r="N732" s="230">
        <f>N733</f>
        <v>1</v>
      </c>
    </row>
    <row r="733" spans="1:14" x14ac:dyDescent="0.25">
      <c r="A733" s="223"/>
      <c r="B733" s="229"/>
      <c r="C733" s="225"/>
      <c r="D733" s="226"/>
      <c r="E733" s="226"/>
      <c r="F733" s="226"/>
      <c r="G733" s="226"/>
      <c r="H733" s="226"/>
      <c r="I733" s="226">
        <v>1</v>
      </c>
      <c r="J733" s="226"/>
      <c r="K733" s="226"/>
      <c r="L733" s="226"/>
      <c r="M733" s="226"/>
      <c r="N733" s="228">
        <f>I733</f>
        <v>1</v>
      </c>
    </row>
    <row r="734" spans="1:14" x14ac:dyDescent="0.25">
      <c r="A734" s="223"/>
      <c r="B734" s="229"/>
      <c r="C734" s="225"/>
      <c r="D734" s="226"/>
      <c r="E734" s="226"/>
      <c r="F734" s="226"/>
      <c r="G734" s="226"/>
      <c r="H734" s="226"/>
      <c r="I734" s="226"/>
      <c r="J734" s="226"/>
      <c r="K734" s="226"/>
      <c r="L734" s="226"/>
      <c r="M734" s="226"/>
      <c r="N734" s="230"/>
    </row>
    <row r="735" spans="1:14" ht="63.75" x14ac:dyDescent="0.25">
      <c r="A735" s="223" t="s">
        <v>571</v>
      </c>
      <c r="B735" s="229" t="s">
        <v>58</v>
      </c>
      <c r="C735" s="225" t="s">
        <v>42</v>
      </c>
      <c r="D735" s="226"/>
      <c r="E735" s="226"/>
      <c r="F735" s="226"/>
      <c r="G735" s="226"/>
      <c r="H735" s="226"/>
      <c r="I735" s="226"/>
      <c r="J735" s="226"/>
      <c r="K735" s="226"/>
      <c r="L735" s="226"/>
      <c r="M735" s="226"/>
      <c r="N735" s="230">
        <f>N736</f>
        <v>0.6</v>
      </c>
    </row>
    <row r="736" spans="1:14" x14ac:dyDescent="0.25">
      <c r="A736" s="223"/>
      <c r="B736" s="229"/>
      <c r="C736" s="225"/>
      <c r="D736" s="226"/>
      <c r="E736" s="226"/>
      <c r="F736" s="226">
        <v>0.6</v>
      </c>
      <c r="G736" s="226"/>
      <c r="H736" s="226"/>
      <c r="I736" s="226">
        <v>1</v>
      </c>
      <c r="J736" s="226"/>
      <c r="K736" s="226"/>
      <c r="L736" s="226"/>
      <c r="M736" s="226"/>
      <c r="N736" s="228">
        <f>F736*I736</f>
        <v>0.6</v>
      </c>
    </row>
    <row r="737" spans="1:14" x14ac:dyDescent="0.25">
      <c r="A737" s="223"/>
      <c r="B737" s="229"/>
      <c r="C737" s="225"/>
      <c r="D737" s="226"/>
      <c r="E737" s="226"/>
      <c r="F737" s="226"/>
      <c r="G737" s="226"/>
      <c r="H737" s="226"/>
      <c r="I737" s="226"/>
      <c r="J737" s="226"/>
      <c r="K737" s="226"/>
      <c r="L737" s="226"/>
      <c r="M737" s="226"/>
      <c r="N737" s="230"/>
    </row>
    <row r="738" spans="1:14" ht="63.75" x14ac:dyDescent="0.25">
      <c r="A738" s="223" t="s">
        <v>572</v>
      </c>
      <c r="B738" s="229" t="s">
        <v>273</v>
      </c>
      <c r="C738" s="225" t="s">
        <v>57</v>
      </c>
      <c r="D738" s="226"/>
      <c r="E738" s="226"/>
      <c r="F738" s="226"/>
      <c r="G738" s="226"/>
      <c r="H738" s="226"/>
      <c r="I738" s="226"/>
      <c r="J738" s="226"/>
      <c r="K738" s="226"/>
      <c r="L738" s="226"/>
      <c r="M738" s="226"/>
      <c r="N738" s="230">
        <f>N739</f>
        <v>2</v>
      </c>
    </row>
    <row r="739" spans="1:14" x14ac:dyDescent="0.25">
      <c r="A739" s="223"/>
      <c r="B739" s="229"/>
      <c r="C739" s="225"/>
      <c r="D739" s="226"/>
      <c r="E739" s="226"/>
      <c r="F739" s="226"/>
      <c r="G739" s="226"/>
      <c r="H739" s="226"/>
      <c r="I739" s="226">
        <v>2</v>
      </c>
      <c r="J739" s="226"/>
      <c r="K739" s="226"/>
      <c r="L739" s="226"/>
      <c r="M739" s="226"/>
      <c r="N739" s="228">
        <f>I739</f>
        <v>2</v>
      </c>
    </row>
    <row r="740" spans="1:14" x14ac:dyDescent="0.25">
      <c r="A740" s="223"/>
      <c r="B740" s="229"/>
      <c r="C740" s="225"/>
      <c r="D740" s="226"/>
      <c r="E740" s="226"/>
      <c r="F740" s="226"/>
      <c r="G740" s="226"/>
      <c r="H740" s="226"/>
      <c r="I740" s="226"/>
      <c r="J740" s="226"/>
      <c r="K740" s="226"/>
      <c r="L740" s="226"/>
      <c r="M740" s="226"/>
      <c r="N740" s="230"/>
    </row>
    <row r="741" spans="1:14" ht="51" x14ac:dyDescent="0.25">
      <c r="A741" s="223" t="s">
        <v>641</v>
      </c>
      <c r="B741" s="229" t="s">
        <v>274</v>
      </c>
      <c r="C741" s="225" t="s">
        <v>57</v>
      </c>
      <c r="D741" s="226"/>
      <c r="E741" s="226"/>
      <c r="F741" s="226"/>
      <c r="G741" s="226"/>
      <c r="H741" s="226"/>
      <c r="I741" s="226"/>
      <c r="J741" s="226"/>
      <c r="K741" s="226"/>
      <c r="L741" s="226"/>
      <c r="M741" s="226"/>
      <c r="N741" s="230">
        <f>N742</f>
        <v>1</v>
      </c>
    </row>
    <row r="742" spans="1:14" x14ac:dyDescent="0.25">
      <c r="A742" s="223"/>
      <c r="B742" s="229"/>
      <c r="C742" s="225"/>
      <c r="D742" s="226"/>
      <c r="E742" s="226"/>
      <c r="F742" s="226"/>
      <c r="G742" s="226"/>
      <c r="H742" s="226"/>
      <c r="I742" s="226">
        <v>1</v>
      </c>
      <c r="J742" s="226"/>
      <c r="K742" s="226"/>
      <c r="L742" s="226"/>
      <c r="M742" s="226"/>
      <c r="N742" s="228">
        <f>I742</f>
        <v>1</v>
      </c>
    </row>
    <row r="743" spans="1:14" x14ac:dyDescent="0.25">
      <c r="A743" s="223"/>
      <c r="B743" s="229"/>
      <c r="C743" s="225"/>
      <c r="D743" s="226"/>
      <c r="E743" s="226"/>
      <c r="F743" s="226"/>
      <c r="G743" s="226"/>
      <c r="H743" s="226"/>
      <c r="I743" s="226"/>
      <c r="J743" s="226"/>
      <c r="K743" s="226"/>
      <c r="L743" s="226"/>
      <c r="M743" s="226"/>
      <c r="N743" s="230"/>
    </row>
    <row r="744" spans="1:14" x14ac:dyDescent="0.25">
      <c r="A744" s="232" t="s">
        <v>642</v>
      </c>
      <c r="B744" s="233" t="s">
        <v>466</v>
      </c>
      <c r="C744" s="234"/>
      <c r="D744" s="235"/>
      <c r="E744" s="235"/>
      <c r="F744" s="235"/>
      <c r="G744" s="235"/>
      <c r="H744" s="235"/>
      <c r="I744" s="235"/>
      <c r="J744" s="235"/>
      <c r="K744" s="235"/>
      <c r="L744" s="235"/>
      <c r="M744" s="235"/>
      <c r="N744" s="236"/>
    </row>
    <row r="745" spans="1:14" x14ac:dyDescent="0.25">
      <c r="A745" s="231" t="s">
        <v>643</v>
      </c>
      <c r="B745" s="224" t="s">
        <v>33</v>
      </c>
      <c r="C745" s="225"/>
      <c r="D745" s="226"/>
      <c r="E745" s="226"/>
      <c r="F745" s="226"/>
      <c r="G745" s="226"/>
      <c r="H745" s="226"/>
      <c r="I745" s="226"/>
      <c r="J745" s="226"/>
      <c r="K745" s="226"/>
      <c r="L745" s="226"/>
      <c r="M745" s="226"/>
      <c r="N745" s="230"/>
    </row>
    <row r="746" spans="1:14" ht="51" x14ac:dyDescent="0.25">
      <c r="A746" s="223" t="s">
        <v>644</v>
      </c>
      <c r="B746" s="229" t="s">
        <v>270</v>
      </c>
      <c r="C746" s="225" t="s">
        <v>34</v>
      </c>
      <c r="D746" s="226"/>
      <c r="E746" s="226"/>
      <c r="F746" s="226"/>
      <c r="G746" s="226"/>
      <c r="H746" s="226"/>
      <c r="I746" s="226"/>
      <c r="J746" s="226"/>
      <c r="K746" s="226"/>
      <c r="L746" s="226"/>
      <c r="M746" s="226"/>
      <c r="N746" s="230">
        <f>N747</f>
        <v>96.82</v>
      </c>
    </row>
    <row r="747" spans="1:14" x14ac:dyDescent="0.25">
      <c r="A747" s="223"/>
      <c r="B747" s="224" t="s">
        <v>279</v>
      </c>
      <c r="C747" s="225"/>
      <c r="D747" s="226"/>
      <c r="E747" s="226"/>
      <c r="F747" s="226"/>
      <c r="G747" s="226"/>
      <c r="H747" s="226"/>
      <c r="I747" s="226"/>
      <c r="J747" s="226"/>
      <c r="K747" s="226"/>
      <c r="L747" s="226"/>
      <c r="M747" s="226">
        <f>'MAPA DE CUBAÇÃO'!I317</f>
        <v>96.82</v>
      </c>
      <c r="N747" s="228">
        <f>M747</f>
        <v>96.82</v>
      </c>
    </row>
    <row r="748" spans="1:14" x14ac:dyDescent="0.25">
      <c r="A748" s="223"/>
      <c r="B748" s="229"/>
      <c r="C748" s="225"/>
      <c r="D748" s="226"/>
      <c r="E748" s="226"/>
      <c r="F748" s="226"/>
      <c r="G748" s="226"/>
      <c r="H748" s="226"/>
      <c r="I748" s="226"/>
      <c r="J748" s="226"/>
      <c r="K748" s="226"/>
      <c r="L748" s="226"/>
      <c r="M748" s="226"/>
      <c r="N748" s="230"/>
    </row>
    <row r="749" spans="1:14" ht="76.5" x14ac:dyDescent="0.25">
      <c r="A749" s="223" t="s">
        <v>645</v>
      </c>
      <c r="B749" s="229" t="s">
        <v>45</v>
      </c>
      <c r="C749" s="225" t="s">
        <v>34</v>
      </c>
      <c r="D749" s="226"/>
      <c r="E749" s="226"/>
      <c r="F749" s="226"/>
      <c r="G749" s="226"/>
      <c r="H749" s="226"/>
      <c r="I749" s="226"/>
      <c r="J749" s="226"/>
      <c r="K749" s="239" t="s">
        <v>280</v>
      </c>
      <c r="L749" s="226"/>
      <c r="M749" s="226"/>
      <c r="N749" s="230">
        <f>N750</f>
        <v>121.03</v>
      </c>
    </row>
    <row r="750" spans="1:14" x14ac:dyDescent="0.25">
      <c r="A750" s="223"/>
      <c r="B750" s="224" t="s">
        <v>279</v>
      </c>
      <c r="C750" s="225"/>
      <c r="D750" s="226"/>
      <c r="E750" s="226"/>
      <c r="F750" s="226"/>
      <c r="G750" s="226"/>
      <c r="H750" s="226"/>
      <c r="I750" s="226"/>
      <c r="J750" s="226"/>
      <c r="K750" s="238">
        <v>1.25</v>
      </c>
      <c r="L750" s="226"/>
      <c r="M750" s="226">
        <f>N747</f>
        <v>96.82</v>
      </c>
      <c r="N750" s="228">
        <f>K750*M750</f>
        <v>121.03</v>
      </c>
    </row>
    <row r="751" spans="1:14" x14ac:dyDescent="0.25">
      <c r="A751" s="223"/>
      <c r="B751" s="229"/>
      <c r="C751" s="225"/>
      <c r="D751" s="226"/>
      <c r="E751" s="226"/>
      <c r="F751" s="226"/>
      <c r="G751" s="226"/>
      <c r="H751" s="226"/>
      <c r="I751" s="226"/>
      <c r="J751" s="226"/>
      <c r="K751" s="226"/>
      <c r="L751" s="226"/>
      <c r="M751" s="226"/>
      <c r="N751" s="230"/>
    </row>
    <row r="752" spans="1:14" ht="63.75" x14ac:dyDescent="0.25">
      <c r="A752" s="223" t="s">
        <v>646</v>
      </c>
      <c r="B752" s="229" t="s">
        <v>35</v>
      </c>
      <c r="C752" s="225" t="s">
        <v>36</v>
      </c>
      <c r="D752" s="226"/>
      <c r="E752" s="237" t="s">
        <v>281</v>
      </c>
      <c r="F752" s="226"/>
      <c r="G752" s="226"/>
      <c r="H752" s="226"/>
      <c r="I752" s="226"/>
      <c r="J752" s="226"/>
      <c r="K752" s="315"/>
      <c r="L752" s="226"/>
      <c r="M752" s="226"/>
      <c r="N752" s="230">
        <f>N753</f>
        <v>605.15</v>
      </c>
    </row>
    <row r="753" spans="1:14" x14ac:dyDescent="0.25">
      <c r="A753" s="223"/>
      <c r="B753" s="224" t="s">
        <v>279</v>
      </c>
      <c r="C753" s="225"/>
      <c r="D753" s="226"/>
      <c r="E753" s="226">
        <v>5</v>
      </c>
      <c r="F753" s="226"/>
      <c r="G753" s="226"/>
      <c r="H753" s="226"/>
      <c r="I753" s="226"/>
      <c r="J753" s="226"/>
      <c r="K753" s="316"/>
      <c r="L753" s="226"/>
      <c r="M753" s="226">
        <f>N750</f>
        <v>121.03</v>
      </c>
      <c r="N753" s="228">
        <f>M753*E753</f>
        <v>605.15</v>
      </c>
    </row>
    <row r="754" spans="1:14" x14ac:dyDescent="0.25">
      <c r="A754" s="223"/>
      <c r="B754" s="229"/>
      <c r="C754" s="225"/>
      <c r="D754" s="226"/>
      <c r="E754" s="226"/>
      <c r="F754" s="226"/>
      <c r="G754" s="226"/>
      <c r="H754" s="226"/>
      <c r="I754" s="226"/>
      <c r="J754" s="226"/>
      <c r="K754" s="226"/>
      <c r="L754" s="226"/>
      <c r="M754" s="226"/>
      <c r="N754" s="230"/>
    </row>
    <row r="755" spans="1:14" x14ac:dyDescent="0.25">
      <c r="A755" s="231" t="s">
        <v>647</v>
      </c>
      <c r="B755" s="224" t="s">
        <v>40</v>
      </c>
      <c r="C755" s="225"/>
      <c r="D755" s="226"/>
      <c r="E755" s="226"/>
      <c r="F755" s="226"/>
      <c r="G755" s="226"/>
      <c r="H755" s="226"/>
      <c r="I755" s="226"/>
      <c r="J755" s="226"/>
      <c r="K755" s="226"/>
      <c r="L755" s="226"/>
      <c r="M755" s="226"/>
      <c r="N755" s="230"/>
    </row>
    <row r="756" spans="1:14" ht="25.5" x14ac:dyDescent="0.25">
      <c r="A756" s="223" t="s">
        <v>648</v>
      </c>
      <c r="B756" s="229" t="s">
        <v>41</v>
      </c>
      <c r="C756" s="225" t="s">
        <v>42</v>
      </c>
      <c r="D756" s="226"/>
      <c r="E756" s="226"/>
      <c r="F756" s="226"/>
      <c r="G756" s="226"/>
      <c r="H756" s="226"/>
      <c r="I756" s="226"/>
      <c r="J756" s="226"/>
      <c r="K756" s="226"/>
      <c r="L756" s="226"/>
      <c r="M756" s="226"/>
      <c r="N756" s="230">
        <f>N757</f>
        <v>193.64</v>
      </c>
    </row>
    <row r="757" spans="1:14" x14ac:dyDescent="0.25">
      <c r="A757" s="223"/>
      <c r="B757" s="229"/>
      <c r="C757" s="225"/>
      <c r="D757" s="226"/>
      <c r="E757" s="226">
        <f>'MAPA DE CUBAÇÃO'!H317</f>
        <v>193.64</v>
      </c>
      <c r="F757" s="226"/>
      <c r="G757" s="226"/>
      <c r="H757" s="226"/>
      <c r="I757" s="226"/>
      <c r="J757" s="226"/>
      <c r="K757" s="226"/>
      <c r="L757" s="226"/>
      <c r="M757" s="226"/>
      <c r="N757" s="228">
        <f>E757</f>
        <v>193.64</v>
      </c>
    </row>
    <row r="758" spans="1:14" x14ac:dyDescent="0.25">
      <c r="A758" s="223"/>
      <c r="B758" s="229"/>
      <c r="C758" s="225"/>
      <c r="D758" s="226"/>
      <c r="E758" s="226"/>
      <c r="F758" s="226"/>
      <c r="G758" s="226"/>
      <c r="H758" s="226"/>
      <c r="I758" s="226"/>
      <c r="J758" s="226"/>
      <c r="K758" s="226"/>
      <c r="L758" s="226"/>
      <c r="M758" s="226"/>
      <c r="N758" s="228"/>
    </row>
    <row r="759" spans="1:14" ht="51" x14ac:dyDescent="0.25">
      <c r="A759" s="223" t="s">
        <v>649</v>
      </c>
      <c r="B759" s="229" t="s">
        <v>38</v>
      </c>
      <c r="C759" s="225" t="s">
        <v>30</v>
      </c>
      <c r="D759" s="226"/>
      <c r="E759" s="226"/>
      <c r="F759" s="226"/>
      <c r="G759" s="226"/>
      <c r="H759" s="226"/>
      <c r="I759" s="226"/>
      <c r="J759" s="226"/>
      <c r="K759" s="226"/>
      <c r="L759" s="226"/>
      <c r="M759" s="226"/>
      <c r="N759" s="230">
        <f>N760</f>
        <v>945.89</v>
      </c>
    </row>
    <row r="760" spans="1:14" x14ac:dyDescent="0.25">
      <c r="A760" s="223"/>
      <c r="B760" s="229"/>
      <c r="C760" s="225"/>
      <c r="D760" s="226"/>
      <c r="E760" s="226"/>
      <c r="F760" s="226"/>
      <c r="G760" s="226">
        <v>945.89</v>
      </c>
      <c r="H760" s="226"/>
      <c r="I760" s="226"/>
      <c r="J760" s="226"/>
      <c r="K760" s="226"/>
      <c r="L760" s="226"/>
      <c r="M760" s="226"/>
      <c r="N760" s="228">
        <f>G760</f>
        <v>945.89</v>
      </c>
    </row>
    <row r="761" spans="1:14" x14ac:dyDescent="0.25">
      <c r="A761" s="223"/>
      <c r="B761" s="229"/>
      <c r="C761" s="225"/>
      <c r="D761" s="226"/>
      <c r="E761" s="226"/>
      <c r="F761" s="226"/>
      <c r="G761" s="226"/>
      <c r="H761" s="226"/>
      <c r="I761" s="226"/>
      <c r="J761" s="226"/>
      <c r="K761" s="226"/>
      <c r="L761" s="226"/>
      <c r="M761" s="226"/>
      <c r="N761" s="230"/>
    </row>
    <row r="762" spans="1:14" ht="76.5" x14ac:dyDescent="0.25">
      <c r="A762" s="223" t="s">
        <v>650</v>
      </c>
      <c r="B762" s="229" t="s">
        <v>44</v>
      </c>
      <c r="C762" s="225" t="s">
        <v>30</v>
      </c>
      <c r="D762" s="226"/>
      <c r="E762" s="226"/>
      <c r="F762" s="226"/>
      <c r="G762" s="226"/>
      <c r="H762" s="226"/>
      <c r="I762" s="226"/>
      <c r="J762" s="226"/>
      <c r="K762" s="226"/>
      <c r="L762" s="226"/>
      <c r="M762" s="226"/>
      <c r="N762" s="230">
        <f>N763</f>
        <v>945.89</v>
      </c>
    </row>
    <row r="763" spans="1:14" x14ac:dyDescent="0.25">
      <c r="A763" s="223"/>
      <c r="B763" s="229"/>
      <c r="C763" s="225"/>
      <c r="D763" s="226"/>
      <c r="E763" s="226"/>
      <c r="F763" s="226"/>
      <c r="G763" s="226">
        <v>945.89</v>
      </c>
      <c r="H763" s="226"/>
      <c r="I763" s="226"/>
      <c r="J763" s="226"/>
      <c r="K763" s="226"/>
      <c r="L763" s="226"/>
      <c r="M763" s="226"/>
      <c r="N763" s="228">
        <f>G763</f>
        <v>945.89</v>
      </c>
    </row>
    <row r="764" spans="1:14" x14ac:dyDescent="0.25">
      <c r="A764" s="223"/>
      <c r="B764" s="229"/>
      <c r="C764" s="225"/>
      <c r="D764" s="226"/>
      <c r="E764" s="226"/>
      <c r="F764" s="226"/>
      <c r="G764" s="226"/>
      <c r="H764" s="226"/>
      <c r="I764" s="226"/>
      <c r="J764" s="226"/>
      <c r="K764" s="226"/>
      <c r="L764" s="226"/>
      <c r="M764" s="226"/>
      <c r="N764" s="230"/>
    </row>
    <row r="765" spans="1:14" ht="102" x14ac:dyDescent="0.25">
      <c r="A765" s="223" t="s">
        <v>651</v>
      </c>
      <c r="B765" s="229" t="s">
        <v>49</v>
      </c>
      <c r="C765" s="225" t="s">
        <v>42</v>
      </c>
      <c r="D765" s="226"/>
      <c r="E765" s="226"/>
      <c r="F765" s="226"/>
      <c r="G765" s="226"/>
      <c r="H765" s="226"/>
      <c r="I765" s="226"/>
      <c r="J765" s="226"/>
      <c r="K765" s="226"/>
      <c r="L765" s="226"/>
      <c r="M765" s="226"/>
      <c r="N765" s="230">
        <f>N766</f>
        <v>389.22</v>
      </c>
    </row>
    <row r="766" spans="1:14" x14ac:dyDescent="0.25">
      <c r="A766" s="223"/>
      <c r="B766" s="229"/>
      <c r="C766" s="225"/>
      <c r="D766" s="226"/>
      <c r="E766" s="226">
        <v>389.22</v>
      </c>
      <c r="F766" s="226"/>
      <c r="G766" s="226"/>
      <c r="H766" s="226"/>
      <c r="I766" s="226"/>
      <c r="J766" s="226"/>
      <c r="K766" s="226"/>
      <c r="L766" s="226"/>
      <c r="M766" s="226"/>
      <c r="N766" s="228">
        <f>E766</f>
        <v>389.22</v>
      </c>
    </row>
    <row r="767" spans="1:14" x14ac:dyDescent="0.25">
      <c r="A767" s="223"/>
      <c r="B767" s="229"/>
      <c r="C767" s="225"/>
      <c r="D767" s="226"/>
      <c r="E767" s="226"/>
      <c r="F767" s="226"/>
      <c r="G767" s="226"/>
      <c r="H767" s="226"/>
      <c r="I767" s="226"/>
      <c r="J767" s="226"/>
      <c r="K767" s="226"/>
      <c r="L767" s="226"/>
      <c r="M767" s="226"/>
      <c r="N767" s="230"/>
    </row>
    <row r="768" spans="1:14" x14ac:dyDescent="0.25">
      <c r="A768" s="231" t="s">
        <v>652</v>
      </c>
      <c r="B768" s="224" t="s">
        <v>471</v>
      </c>
      <c r="C768" s="225"/>
      <c r="D768" s="226"/>
      <c r="E768" s="226"/>
      <c r="F768" s="226"/>
      <c r="G768" s="226"/>
      <c r="H768" s="226"/>
      <c r="I768" s="226"/>
      <c r="J768" s="226"/>
      <c r="K768" s="226"/>
      <c r="L768" s="226"/>
      <c r="M768" s="226"/>
      <c r="N768" s="230"/>
    </row>
    <row r="769" spans="1:14" x14ac:dyDescent="0.25">
      <c r="A769" s="223" t="s">
        <v>653</v>
      </c>
      <c r="B769" s="229" t="s">
        <v>48</v>
      </c>
      <c r="C769" s="225" t="s">
        <v>42</v>
      </c>
      <c r="D769" s="226"/>
      <c r="E769" s="226"/>
      <c r="F769" s="226"/>
      <c r="G769" s="226"/>
      <c r="H769" s="226"/>
      <c r="I769" s="226"/>
      <c r="J769" s="226"/>
      <c r="K769" s="226"/>
      <c r="L769" s="226"/>
      <c r="M769" s="226"/>
      <c r="N769" s="230">
        <f>N770</f>
        <v>20.079999999999998</v>
      </c>
    </row>
    <row r="770" spans="1:14" x14ac:dyDescent="0.25">
      <c r="A770" s="223"/>
      <c r="B770" s="229"/>
      <c r="C770" s="225"/>
      <c r="D770" s="226"/>
      <c r="E770" s="226">
        <f>DRENAGEM!C59</f>
        <v>20.079999999999998</v>
      </c>
      <c r="F770" s="226"/>
      <c r="G770" s="226"/>
      <c r="H770" s="226"/>
      <c r="I770" s="226"/>
      <c r="J770" s="226"/>
      <c r="K770" s="226"/>
      <c r="L770" s="226"/>
      <c r="M770" s="226"/>
      <c r="N770" s="228">
        <f>E770</f>
        <v>20.079999999999998</v>
      </c>
    </row>
    <row r="771" spans="1:14" x14ac:dyDescent="0.25">
      <c r="A771" s="223"/>
      <c r="B771" s="229"/>
      <c r="C771" s="225"/>
      <c r="D771" s="226"/>
      <c r="E771" s="226"/>
      <c r="F771" s="226"/>
      <c r="G771" s="226"/>
      <c r="H771" s="226"/>
      <c r="I771" s="226"/>
      <c r="J771" s="226"/>
      <c r="K771" s="226"/>
      <c r="L771" s="226"/>
      <c r="M771" s="226"/>
      <c r="N771" s="230"/>
    </row>
    <row r="772" spans="1:14" ht="102" x14ac:dyDescent="0.25">
      <c r="A772" s="223" t="s">
        <v>654</v>
      </c>
      <c r="B772" s="229" t="s">
        <v>50</v>
      </c>
      <c r="C772" s="225" t="s">
        <v>34</v>
      </c>
      <c r="D772" s="226"/>
      <c r="E772" s="226"/>
      <c r="F772" s="226"/>
      <c r="G772" s="226"/>
      <c r="H772" s="226"/>
      <c r="I772" s="226"/>
      <c r="J772" s="226"/>
      <c r="K772" s="226"/>
      <c r="L772" s="226"/>
      <c r="M772" s="226"/>
      <c r="N772" s="230">
        <f>N773</f>
        <v>45.18</v>
      </c>
    </row>
    <row r="773" spans="1:14" x14ac:dyDescent="0.25">
      <c r="A773" s="223"/>
      <c r="B773" s="229"/>
      <c r="C773" s="225"/>
      <c r="D773" s="226"/>
      <c r="E773" s="226"/>
      <c r="F773" s="226"/>
      <c r="G773" s="226"/>
      <c r="H773" s="226"/>
      <c r="I773" s="226"/>
      <c r="J773" s="226"/>
      <c r="K773" s="226"/>
      <c r="L773" s="226"/>
      <c r="M773" s="226">
        <f>DRENAGEM!U59</f>
        <v>45.18</v>
      </c>
      <c r="N773" s="228">
        <f>M773</f>
        <v>45.18</v>
      </c>
    </row>
    <row r="774" spans="1:14" x14ac:dyDescent="0.25">
      <c r="A774" s="223"/>
      <c r="B774" s="229"/>
      <c r="C774" s="225"/>
      <c r="D774" s="226"/>
      <c r="E774" s="226"/>
      <c r="F774" s="226"/>
      <c r="G774" s="226"/>
      <c r="H774" s="226"/>
      <c r="I774" s="226"/>
      <c r="J774" s="226"/>
      <c r="K774" s="226"/>
      <c r="L774" s="226"/>
      <c r="M774" s="226"/>
      <c r="N774" s="230"/>
    </row>
    <row r="775" spans="1:14" ht="114.75" x14ac:dyDescent="0.25">
      <c r="A775" s="223" t="s">
        <v>655</v>
      </c>
      <c r="B775" s="229" t="s">
        <v>51</v>
      </c>
      <c r="C775" s="225"/>
      <c r="D775" s="226"/>
      <c r="E775" s="226"/>
      <c r="F775" s="226"/>
      <c r="G775" s="226"/>
      <c r="H775" s="226"/>
      <c r="I775" s="226"/>
      <c r="J775" s="226"/>
      <c r="K775" s="226"/>
      <c r="L775" s="226"/>
      <c r="M775" s="226"/>
      <c r="N775" s="230">
        <f>N776</f>
        <v>25.76</v>
      </c>
    </row>
    <row r="776" spans="1:14" x14ac:dyDescent="0.25">
      <c r="A776" s="223"/>
      <c r="B776" s="229"/>
      <c r="C776" s="225"/>
      <c r="D776" s="226"/>
      <c r="E776" s="226"/>
      <c r="F776" s="226"/>
      <c r="G776" s="226"/>
      <c r="H776" s="226"/>
      <c r="I776" s="226"/>
      <c r="J776" s="226"/>
      <c r="K776" s="226"/>
      <c r="L776" s="226"/>
      <c r="M776" s="226">
        <f>DRENAGEM!V59</f>
        <v>25.76</v>
      </c>
      <c r="N776" s="228">
        <f>M776</f>
        <v>25.76</v>
      </c>
    </row>
    <row r="777" spans="1:14" x14ac:dyDescent="0.25">
      <c r="A777" s="223"/>
      <c r="B777" s="229"/>
      <c r="C777" s="225"/>
      <c r="D777" s="226"/>
      <c r="E777" s="226"/>
      <c r="F777" s="226"/>
      <c r="G777" s="226"/>
      <c r="H777" s="226"/>
      <c r="I777" s="226"/>
      <c r="J777" s="226"/>
      <c r="K777" s="226"/>
      <c r="L777" s="226"/>
      <c r="M777" s="226"/>
      <c r="N777" s="230"/>
    </row>
    <row r="778" spans="1:14" ht="89.25" x14ac:dyDescent="0.25">
      <c r="A778" s="223" t="s">
        <v>656</v>
      </c>
      <c r="B778" s="229" t="s">
        <v>266</v>
      </c>
      <c r="C778" s="225" t="s">
        <v>42</v>
      </c>
      <c r="D778" s="226"/>
      <c r="E778" s="226"/>
      <c r="F778" s="226"/>
      <c r="G778" s="226"/>
      <c r="H778" s="226"/>
      <c r="I778" s="226"/>
      <c r="J778" s="226"/>
      <c r="K778" s="226"/>
      <c r="L778" s="226"/>
      <c r="M778" s="226"/>
      <c r="N778" s="230">
        <f>N779</f>
        <v>20.079999999999998</v>
      </c>
    </row>
    <row r="779" spans="1:14" x14ac:dyDescent="0.25">
      <c r="A779" s="223"/>
      <c r="B779" s="229"/>
      <c r="C779" s="225"/>
      <c r="D779" s="226"/>
      <c r="E779" s="226">
        <f>DRENAGEM!C59</f>
        <v>20.079999999999998</v>
      </c>
      <c r="F779" s="226"/>
      <c r="G779" s="226"/>
      <c r="H779" s="226"/>
      <c r="I779" s="226"/>
      <c r="J779" s="226"/>
      <c r="K779" s="226"/>
      <c r="L779" s="226"/>
      <c r="M779" s="226"/>
      <c r="N779" s="228">
        <f>E779</f>
        <v>20.079999999999998</v>
      </c>
    </row>
    <row r="780" spans="1:14" x14ac:dyDescent="0.25">
      <c r="A780" s="223"/>
      <c r="B780" s="229"/>
      <c r="C780" s="225"/>
      <c r="D780" s="226"/>
      <c r="E780" s="226"/>
      <c r="F780" s="226"/>
      <c r="G780" s="226"/>
      <c r="H780" s="226"/>
      <c r="I780" s="226"/>
      <c r="J780" s="226"/>
      <c r="K780" s="226"/>
      <c r="L780" s="226"/>
      <c r="M780" s="226"/>
      <c r="N780" s="230"/>
    </row>
    <row r="781" spans="1:14" ht="63.75" x14ac:dyDescent="0.25">
      <c r="A781" s="223" t="s">
        <v>657</v>
      </c>
      <c r="B781" s="229" t="s">
        <v>53</v>
      </c>
      <c r="C781" s="225" t="s">
        <v>30</v>
      </c>
      <c r="D781" s="226"/>
      <c r="E781" s="226"/>
      <c r="F781" s="226"/>
      <c r="G781" s="226"/>
      <c r="H781" s="226"/>
      <c r="I781" s="226"/>
      <c r="J781" s="226"/>
      <c r="K781" s="226"/>
      <c r="L781" s="226"/>
      <c r="M781" s="226"/>
      <c r="N781" s="230">
        <f>N782</f>
        <v>122.03</v>
      </c>
    </row>
    <row r="782" spans="1:14" x14ac:dyDescent="0.25">
      <c r="A782" s="223"/>
      <c r="B782" s="229"/>
      <c r="C782" s="225"/>
      <c r="D782" s="226"/>
      <c r="E782" s="226"/>
      <c r="F782" s="226"/>
      <c r="G782" s="226"/>
      <c r="H782" s="226"/>
      <c r="I782" s="226"/>
      <c r="J782" s="226"/>
      <c r="K782" s="226"/>
      <c r="L782" s="226"/>
      <c r="M782" s="226">
        <f>DRENAGEM!X60</f>
        <v>122.03</v>
      </c>
      <c r="N782" s="228">
        <f>M782</f>
        <v>122.03</v>
      </c>
    </row>
    <row r="783" spans="1:14" x14ac:dyDescent="0.25">
      <c r="A783" s="223"/>
      <c r="B783" s="229"/>
      <c r="C783" s="225"/>
      <c r="D783" s="226"/>
      <c r="E783" s="226"/>
      <c r="F783" s="226"/>
      <c r="G783" s="226"/>
      <c r="H783" s="226"/>
      <c r="I783" s="226"/>
      <c r="J783" s="226"/>
      <c r="K783" s="226"/>
      <c r="L783" s="226"/>
      <c r="M783" s="226"/>
      <c r="N783" s="230"/>
    </row>
    <row r="784" spans="1:14" ht="38.25" x14ac:dyDescent="0.25">
      <c r="A784" s="223" t="s">
        <v>658</v>
      </c>
      <c r="B784" s="229" t="s">
        <v>271</v>
      </c>
      <c r="C784" s="225" t="s">
        <v>34</v>
      </c>
      <c r="D784" s="226"/>
      <c r="E784" s="226"/>
      <c r="F784" s="226"/>
      <c r="G784" s="226"/>
      <c r="H784" s="226"/>
      <c r="I784" s="226"/>
      <c r="J784" s="226"/>
      <c r="K784" s="226"/>
      <c r="L784" s="226"/>
      <c r="M784" s="226"/>
      <c r="N784" s="230">
        <f>N785</f>
        <v>62.48</v>
      </c>
    </row>
    <row r="785" spans="1:14" x14ac:dyDescent="0.25">
      <c r="A785" s="223"/>
      <c r="B785" s="229"/>
      <c r="C785" s="225"/>
      <c r="D785" s="226"/>
      <c r="E785" s="226"/>
      <c r="F785" s="226"/>
      <c r="G785" s="226"/>
      <c r="H785" s="226"/>
      <c r="I785" s="226"/>
      <c r="J785" s="226"/>
      <c r="K785" s="226"/>
      <c r="L785" s="226"/>
      <c r="M785" s="226">
        <f>DRENAGEM!W59</f>
        <v>62.48</v>
      </c>
      <c r="N785" s="228">
        <f>M785</f>
        <v>62.48</v>
      </c>
    </row>
    <row r="786" spans="1:14" x14ac:dyDescent="0.25">
      <c r="A786" s="223"/>
      <c r="B786" s="229"/>
      <c r="C786" s="225"/>
      <c r="D786" s="226"/>
      <c r="E786" s="226"/>
      <c r="F786" s="226"/>
      <c r="G786" s="226"/>
      <c r="H786" s="226"/>
      <c r="I786" s="226"/>
      <c r="J786" s="226"/>
      <c r="K786" s="226"/>
      <c r="L786" s="226"/>
      <c r="M786" s="226"/>
      <c r="N786" s="230"/>
    </row>
    <row r="787" spans="1:14" ht="76.5" x14ac:dyDescent="0.25">
      <c r="A787" s="223" t="s">
        <v>659</v>
      </c>
      <c r="B787" s="229" t="s">
        <v>45</v>
      </c>
      <c r="C787" s="225" t="s">
        <v>34</v>
      </c>
      <c r="D787" s="226"/>
      <c r="E787" s="226"/>
      <c r="F787" s="226"/>
      <c r="G787" s="226"/>
      <c r="H787" s="226"/>
      <c r="I787" s="226"/>
      <c r="J787" s="226"/>
      <c r="K787" s="226"/>
      <c r="L787" s="226"/>
      <c r="M787" s="226"/>
      <c r="N787" s="230">
        <f>N788</f>
        <v>8.4600000000000009</v>
      </c>
    </row>
    <row r="788" spans="1:14" x14ac:dyDescent="0.25">
      <c r="A788" s="223"/>
      <c r="B788" s="229"/>
      <c r="C788" s="225"/>
      <c r="D788" s="226"/>
      <c r="E788" s="226"/>
      <c r="F788" s="226"/>
      <c r="G788" s="226"/>
      <c r="H788" s="226"/>
      <c r="I788" s="226"/>
      <c r="J788" s="226"/>
      <c r="K788" s="226"/>
      <c r="L788" s="226"/>
      <c r="M788" s="226">
        <f>DRENAGEM!Y59</f>
        <v>8.4600000000000009</v>
      </c>
      <c r="N788" s="228">
        <f>M788</f>
        <v>8.4600000000000009</v>
      </c>
    </row>
    <row r="789" spans="1:14" x14ac:dyDescent="0.25">
      <c r="A789" s="223"/>
      <c r="B789" s="229"/>
      <c r="C789" s="225"/>
      <c r="D789" s="226"/>
      <c r="E789" s="226"/>
      <c r="F789" s="226"/>
      <c r="G789" s="226"/>
      <c r="H789" s="226"/>
      <c r="I789" s="226"/>
      <c r="J789" s="226"/>
      <c r="K789" s="226"/>
      <c r="L789" s="226"/>
      <c r="M789" s="226"/>
      <c r="N789" s="230"/>
    </row>
    <row r="790" spans="1:14" ht="38.25" x14ac:dyDescent="0.25">
      <c r="A790" s="223" t="s">
        <v>660</v>
      </c>
      <c r="B790" s="229" t="s">
        <v>54</v>
      </c>
      <c r="C790" s="225" t="s">
        <v>55</v>
      </c>
      <c r="D790" s="226"/>
      <c r="E790" s="237" t="s">
        <v>281</v>
      </c>
      <c r="F790" s="226"/>
      <c r="G790" s="226"/>
      <c r="H790" s="226"/>
      <c r="I790" s="226"/>
      <c r="J790" s="226"/>
      <c r="K790" s="239" t="s">
        <v>280</v>
      </c>
      <c r="L790" s="226"/>
      <c r="M790" s="226"/>
      <c r="N790" s="230">
        <f>N791</f>
        <v>52.88</v>
      </c>
    </row>
    <row r="791" spans="1:14" x14ac:dyDescent="0.25">
      <c r="A791" s="223"/>
      <c r="B791" s="229"/>
      <c r="C791" s="225"/>
      <c r="D791" s="226"/>
      <c r="E791" s="226">
        <v>5</v>
      </c>
      <c r="F791" s="226"/>
      <c r="G791" s="226"/>
      <c r="H791" s="226"/>
      <c r="I791" s="226"/>
      <c r="J791" s="226"/>
      <c r="K791" s="238">
        <v>1.25</v>
      </c>
      <c r="L791" s="226"/>
      <c r="M791" s="226">
        <f>M788</f>
        <v>8.4600000000000009</v>
      </c>
      <c r="N791" s="228">
        <f>E791*K791*M791</f>
        <v>52.88</v>
      </c>
    </row>
    <row r="792" spans="1:14" x14ac:dyDescent="0.25">
      <c r="A792" s="223"/>
      <c r="B792" s="229"/>
      <c r="C792" s="225"/>
      <c r="D792" s="226"/>
      <c r="E792" s="226"/>
      <c r="F792" s="226"/>
      <c r="G792" s="226"/>
      <c r="H792" s="226"/>
      <c r="I792" s="226"/>
      <c r="J792" s="226"/>
      <c r="K792" s="226"/>
      <c r="L792" s="226"/>
      <c r="M792" s="226"/>
      <c r="N792" s="230"/>
    </row>
    <row r="793" spans="1:14" ht="63.75" x14ac:dyDescent="0.25">
      <c r="A793" s="223" t="s">
        <v>661</v>
      </c>
      <c r="B793" s="229" t="s">
        <v>275</v>
      </c>
      <c r="C793" s="225" t="s">
        <v>30</v>
      </c>
      <c r="D793" s="226"/>
      <c r="E793" s="226"/>
      <c r="F793" s="226"/>
      <c r="G793" s="226"/>
      <c r="H793" s="226"/>
      <c r="I793" s="226"/>
      <c r="J793" s="226"/>
      <c r="K793" s="226"/>
      <c r="L793" s="226"/>
      <c r="M793" s="226"/>
      <c r="N793" s="230">
        <f>N794</f>
        <v>88.55</v>
      </c>
    </row>
    <row r="794" spans="1:14" x14ac:dyDescent="0.25">
      <c r="A794" s="223"/>
      <c r="B794" s="229"/>
      <c r="C794" s="225"/>
      <c r="D794" s="226"/>
      <c r="E794" s="226"/>
      <c r="F794" s="226"/>
      <c r="G794" s="226">
        <f>DRENAGEM!Z59</f>
        <v>88.55</v>
      </c>
      <c r="H794" s="226"/>
      <c r="I794" s="226"/>
      <c r="J794" s="226"/>
      <c r="K794" s="226"/>
      <c r="L794" s="226"/>
      <c r="M794" s="226"/>
      <c r="N794" s="228">
        <f>G794</f>
        <v>88.55</v>
      </c>
    </row>
    <row r="795" spans="1:14" x14ac:dyDescent="0.25">
      <c r="A795" s="223"/>
      <c r="B795" s="229"/>
      <c r="C795" s="225"/>
      <c r="D795" s="226"/>
      <c r="E795" s="226"/>
      <c r="F795" s="226"/>
      <c r="G795" s="226"/>
      <c r="H795" s="226"/>
      <c r="I795" s="226"/>
      <c r="J795" s="226"/>
      <c r="K795" s="226"/>
      <c r="L795" s="226"/>
      <c r="M795" s="226"/>
      <c r="N795" s="230"/>
    </row>
    <row r="796" spans="1:14" ht="63.75" x14ac:dyDescent="0.25">
      <c r="A796" s="223" t="s">
        <v>662</v>
      </c>
      <c r="B796" s="229" t="s">
        <v>58</v>
      </c>
      <c r="C796" s="225" t="s">
        <v>42</v>
      </c>
      <c r="D796" s="226"/>
      <c r="E796" s="226"/>
      <c r="F796" s="226"/>
      <c r="G796" s="226"/>
      <c r="H796" s="226"/>
      <c r="I796" s="226"/>
      <c r="J796" s="226"/>
      <c r="K796" s="226"/>
      <c r="L796" s="226"/>
      <c r="M796" s="226"/>
      <c r="N796" s="230">
        <f>N797</f>
        <v>1.2</v>
      </c>
    </row>
    <row r="797" spans="1:14" x14ac:dyDescent="0.25">
      <c r="A797" s="223"/>
      <c r="B797" s="229"/>
      <c r="C797" s="225"/>
      <c r="D797" s="226"/>
      <c r="E797" s="226"/>
      <c r="F797" s="226">
        <v>0.6</v>
      </c>
      <c r="G797" s="226"/>
      <c r="H797" s="226"/>
      <c r="I797" s="226">
        <v>2</v>
      </c>
      <c r="J797" s="226"/>
      <c r="K797" s="226"/>
      <c r="L797" s="226"/>
      <c r="M797" s="226"/>
      <c r="N797" s="228">
        <f>F797*I797</f>
        <v>1.2</v>
      </c>
    </row>
    <row r="798" spans="1:14" x14ac:dyDescent="0.25">
      <c r="A798" s="223"/>
      <c r="B798" s="229"/>
      <c r="C798" s="225"/>
      <c r="D798" s="226"/>
      <c r="E798" s="226"/>
      <c r="F798" s="226"/>
      <c r="G798" s="226"/>
      <c r="H798" s="226"/>
      <c r="I798" s="226"/>
      <c r="J798" s="226"/>
      <c r="K798" s="226"/>
      <c r="L798" s="226"/>
      <c r="M798" s="226"/>
      <c r="N798" s="230"/>
    </row>
    <row r="799" spans="1:14" ht="63.75" x14ac:dyDescent="0.25">
      <c r="A799" s="223" t="s">
        <v>663</v>
      </c>
      <c r="B799" s="229" t="s">
        <v>273</v>
      </c>
      <c r="C799" s="225" t="s">
        <v>57</v>
      </c>
      <c r="D799" s="226"/>
      <c r="E799" s="226"/>
      <c r="F799" s="226"/>
      <c r="G799" s="226"/>
      <c r="H799" s="226"/>
      <c r="I799" s="226"/>
      <c r="J799" s="226"/>
      <c r="K799" s="226"/>
      <c r="L799" s="226"/>
      <c r="M799" s="226"/>
      <c r="N799" s="230">
        <f>N800</f>
        <v>4</v>
      </c>
    </row>
    <row r="800" spans="1:14" x14ac:dyDescent="0.25">
      <c r="A800" s="223"/>
      <c r="B800" s="229"/>
      <c r="C800" s="225"/>
      <c r="D800" s="226"/>
      <c r="E800" s="226"/>
      <c r="F800" s="226"/>
      <c r="G800" s="226"/>
      <c r="H800" s="226"/>
      <c r="I800" s="226">
        <v>4</v>
      </c>
      <c r="J800" s="226"/>
      <c r="K800" s="226"/>
      <c r="L800" s="226"/>
      <c r="M800" s="226"/>
      <c r="N800" s="228">
        <f>I800</f>
        <v>4</v>
      </c>
    </row>
    <row r="801" spans="1:14" x14ac:dyDescent="0.25">
      <c r="A801" s="223"/>
      <c r="B801" s="229"/>
      <c r="C801" s="225"/>
      <c r="D801" s="226"/>
      <c r="E801" s="226"/>
      <c r="F801" s="226"/>
      <c r="G801" s="226"/>
      <c r="H801" s="226"/>
      <c r="I801" s="226"/>
      <c r="J801" s="226"/>
      <c r="K801" s="226"/>
      <c r="L801" s="226"/>
      <c r="M801" s="226"/>
      <c r="N801" s="230"/>
    </row>
    <row r="802" spans="1:14" ht="51" x14ac:dyDescent="0.25">
      <c r="A802" s="223" t="s">
        <v>664</v>
      </c>
      <c r="B802" s="229" t="s">
        <v>274</v>
      </c>
      <c r="C802" s="225" t="s">
        <v>57</v>
      </c>
      <c r="D802" s="226"/>
      <c r="E802" s="226"/>
      <c r="F802" s="226"/>
      <c r="G802" s="226"/>
      <c r="H802" s="226"/>
      <c r="I802" s="226"/>
      <c r="J802" s="226"/>
      <c r="K802" s="226"/>
      <c r="L802" s="226"/>
      <c r="M802" s="226"/>
      <c r="N802" s="230">
        <f>N803</f>
        <v>2</v>
      </c>
    </row>
    <row r="803" spans="1:14" x14ac:dyDescent="0.25">
      <c r="A803" s="223"/>
      <c r="B803" s="229"/>
      <c r="C803" s="225"/>
      <c r="D803" s="226"/>
      <c r="E803" s="226"/>
      <c r="F803" s="226"/>
      <c r="G803" s="226"/>
      <c r="H803" s="226"/>
      <c r="I803" s="226">
        <v>2</v>
      </c>
      <c r="J803" s="226"/>
      <c r="K803" s="226"/>
      <c r="L803" s="226"/>
      <c r="M803" s="226"/>
      <c r="N803" s="228">
        <f>I803</f>
        <v>2</v>
      </c>
    </row>
    <row r="804" spans="1:14" x14ac:dyDescent="0.25">
      <c r="A804" s="223"/>
      <c r="B804" s="229"/>
      <c r="C804" s="225"/>
      <c r="D804" s="226"/>
      <c r="E804" s="226"/>
      <c r="F804" s="226"/>
      <c r="G804" s="226"/>
      <c r="H804" s="226"/>
      <c r="I804" s="226"/>
      <c r="J804" s="226"/>
      <c r="K804" s="226"/>
      <c r="L804" s="226"/>
      <c r="M804" s="226"/>
      <c r="N804" s="230"/>
    </row>
    <row r="805" spans="1:14" x14ac:dyDescent="0.25">
      <c r="A805" s="223"/>
      <c r="B805" s="229"/>
      <c r="C805" s="225"/>
      <c r="D805" s="226"/>
      <c r="E805" s="226"/>
      <c r="F805" s="226"/>
      <c r="G805" s="226"/>
      <c r="H805" s="226"/>
      <c r="I805" s="226"/>
      <c r="J805" s="226"/>
      <c r="K805" s="226"/>
      <c r="L805" s="226"/>
      <c r="M805" s="226"/>
      <c r="N805" s="230"/>
    </row>
    <row r="2720" ht="85.15" customHeight="1" x14ac:dyDescent="0.25"/>
  </sheetData>
  <autoFilter ref="A11:N63" xr:uid="{00000000-0009-0000-0000-000005000000}"/>
  <mergeCells count="32">
    <mergeCell ref="A430:N430"/>
    <mergeCell ref="A462:N462"/>
    <mergeCell ref="A528:N528"/>
    <mergeCell ref="A52:N52"/>
    <mergeCell ref="I5:J5"/>
    <mergeCell ref="M11:M12"/>
    <mergeCell ref="N11:N12"/>
    <mergeCell ref="G11:G12"/>
    <mergeCell ref="H11:H12"/>
    <mergeCell ref="I11:I12"/>
    <mergeCell ref="J11:J12"/>
    <mergeCell ref="K11:K12"/>
    <mergeCell ref="L11:L12"/>
    <mergeCell ref="F11:F12"/>
    <mergeCell ref="A11:A12"/>
    <mergeCell ref="B11:B12"/>
    <mergeCell ref="C11:C12"/>
    <mergeCell ref="D11:D12"/>
    <mergeCell ref="E11:E12"/>
    <mergeCell ref="I1:N1"/>
    <mergeCell ref="I2:J2"/>
    <mergeCell ref="K2:N3"/>
    <mergeCell ref="K4:N4"/>
    <mergeCell ref="K5:N5"/>
    <mergeCell ref="I4:J4"/>
    <mergeCell ref="B8:N8"/>
    <mergeCell ref="A9:L9"/>
    <mergeCell ref="K7:N7"/>
    <mergeCell ref="I7:J7"/>
    <mergeCell ref="M9:N9"/>
    <mergeCell ref="I6:J6"/>
    <mergeCell ref="K6:N6"/>
  </mergeCells>
  <printOptions horizontalCentered="1"/>
  <pageMargins left="0.31496062992125984" right="0.31496062992125984" top="0.27559055118110237" bottom="0.27559055118110237" header="0" footer="0"/>
  <pageSetup paperSize="9" scale="84" orientation="landscape" r:id="rId1"/>
  <headerFooter>
    <oddFooter>&amp;C&amp;"Arial Narrow,Normal"Página 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L92"/>
  <sheetViews>
    <sheetView view="pageBreakPreview" zoomScale="108" zoomScaleNormal="100" zoomScaleSheetLayoutView="115" workbookViewId="0">
      <selection activeCell="D5" sqref="D5"/>
    </sheetView>
  </sheetViews>
  <sheetFormatPr defaultRowHeight="15" x14ac:dyDescent="0.25"/>
  <cols>
    <col min="1" max="1" width="7" customWidth="1"/>
    <col min="3" max="3" width="8.28515625" customWidth="1"/>
    <col min="4" max="4" width="52.5703125" customWidth="1"/>
    <col min="6" max="6" width="9.85546875" bestFit="1" customWidth="1"/>
    <col min="8" max="8" width="9.85546875" customWidth="1"/>
    <col min="9" max="9" width="9.42578125" customWidth="1"/>
    <col min="10" max="10" width="11.28515625" bestFit="1" customWidth="1"/>
  </cols>
  <sheetData>
    <row r="1" spans="1:12" ht="15.75" x14ac:dyDescent="0.25">
      <c r="A1" s="25"/>
      <c r="B1" s="26"/>
      <c r="C1" s="26"/>
      <c r="D1" s="27"/>
      <c r="E1" s="777" t="s">
        <v>198</v>
      </c>
      <c r="F1" s="778"/>
      <c r="G1" s="778"/>
      <c r="H1" s="778"/>
      <c r="I1" s="778"/>
      <c r="J1" s="778"/>
    </row>
    <row r="2" spans="1:12" ht="20.45" customHeight="1" x14ac:dyDescent="0.25">
      <c r="A2" s="28"/>
      <c r="B2" s="29"/>
      <c r="C2" s="29"/>
      <c r="D2" s="572" t="s">
        <v>0</v>
      </c>
      <c r="E2" s="779" t="s">
        <v>22</v>
      </c>
      <c r="F2" s="780"/>
      <c r="G2" s="783" t="s">
        <v>832</v>
      </c>
      <c r="H2" s="783"/>
      <c r="I2" s="783"/>
      <c r="J2" s="783"/>
    </row>
    <row r="3" spans="1:12" ht="15.75" x14ac:dyDescent="0.25">
      <c r="A3" s="28"/>
      <c r="B3" s="29"/>
      <c r="C3" s="29"/>
      <c r="D3" s="31" t="s">
        <v>1</v>
      </c>
      <c r="E3" s="781"/>
      <c r="F3" s="782"/>
      <c r="G3" s="783"/>
      <c r="H3" s="783"/>
      <c r="I3" s="783"/>
      <c r="J3" s="783"/>
    </row>
    <row r="4" spans="1:12" ht="15.75" x14ac:dyDescent="0.25">
      <c r="A4" s="28"/>
      <c r="B4" s="29"/>
      <c r="C4" s="29"/>
      <c r="D4" s="32"/>
      <c r="E4" s="784" t="s">
        <v>23</v>
      </c>
      <c r="F4" s="785"/>
      <c r="G4" s="786" t="s">
        <v>781</v>
      </c>
      <c r="H4" s="786"/>
      <c r="I4" s="786"/>
      <c r="J4" s="786"/>
    </row>
    <row r="5" spans="1:12" ht="15.75" x14ac:dyDescent="0.25">
      <c r="A5" s="28"/>
      <c r="B5" s="29"/>
      <c r="C5" s="29"/>
      <c r="D5" s="33"/>
      <c r="E5" s="790" t="s">
        <v>24</v>
      </c>
      <c r="F5" s="791"/>
      <c r="G5" s="792">
        <v>0.2135</v>
      </c>
      <c r="H5" s="792"/>
      <c r="I5" s="792"/>
      <c r="J5" s="792"/>
    </row>
    <row r="6" spans="1:12" ht="15.75" x14ac:dyDescent="0.25">
      <c r="A6" s="28"/>
      <c r="B6" s="29"/>
      <c r="C6" s="29"/>
      <c r="D6" s="33"/>
      <c r="E6" s="790" t="s">
        <v>786</v>
      </c>
      <c r="F6" s="791"/>
      <c r="G6" s="792">
        <v>0.1401</v>
      </c>
      <c r="H6" s="792"/>
      <c r="I6" s="792"/>
      <c r="J6" s="792"/>
    </row>
    <row r="7" spans="1:12" ht="30.6" customHeight="1" x14ac:dyDescent="0.25">
      <c r="A7" s="34"/>
      <c r="B7" s="35"/>
      <c r="C7" s="35"/>
      <c r="D7" s="33"/>
      <c r="E7" s="793" t="s">
        <v>25</v>
      </c>
      <c r="F7" s="809"/>
      <c r="G7" s="913" t="s">
        <v>467</v>
      </c>
      <c r="H7" s="913"/>
      <c r="I7" s="913"/>
      <c r="J7" s="913"/>
    </row>
    <row r="8" spans="1:12" ht="30" customHeight="1" x14ac:dyDescent="0.25">
      <c r="A8" s="1" t="s">
        <v>2</v>
      </c>
      <c r="B8" s="810" t="s">
        <v>699</v>
      </c>
      <c r="C8" s="811"/>
      <c r="D8" s="811"/>
      <c r="E8" s="811"/>
      <c r="F8" s="811"/>
      <c r="G8" s="811"/>
      <c r="H8" s="811"/>
      <c r="I8" s="811"/>
      <c r="J8" s="914"/>
    </row>
    <row r="9" spans="1:12" ht="15.75" thickBot="1" x14ac:dyDescent="0.3">
      <c r="A9" s="331"/>
      <c r="B9" s="332"/>
      <c r="C9" s="332"/>
      <c r="D9" s="332"/>
      <c r="E9" s="332"/>
      <c r="F9" s="332"/>
      <c r="G9" s="332"/>
      <c r="H9" s="332"/>
      <c r="I9" s="332"/>
      <c r="J9" s="332"/>
    </row>
    <row r="10" spans="1:12" x14ac:dyDescent="0.25">
      <c r="A10" s="915" t="s">
        <v>199</v>
      </c>
      <c r="B10" s="916"/>
      <c r="C10" s="916"/>
      <c r="D10" s="916"/>
      <c r="E10" s="916"/>
      <c r="F10" s="916"/>
      <c r="G10" s="916"/>
      <c r="H10" s="916"/>
      <c r="I10" s="916"/>
      <c r="J10" s="917"/>
    </row>
    <row r="11" spans="1:12" x14ac:dyDescent="0.25">
      <c r="A11" s="922" t="s">
        <v>447</v>
      </c>
      <c r="B11" s="923"/>
      <c r="C11" s="924" t="s">
        <v>739</v>
      </c>
      <c r="D11" s="925"/>
      <c r="E11" s="925"/>
      <c r="F11" s="925"/>
      <c r="G11" s="925"/>
      <c r="H11" s="925"/>
      <c r="I11" s="925"/>
      <c r="J11" s="926"/>
    </row>
    <row r="12" spans="1:12" ht="25.5" x14ac:dyDescent="0.25">
      <c r="A12" s="615" t="s">
        <v>179</v>
      </c>
      <c r="B12" s="616" t="s">
        <v>200</v>
      </c>
      <c r="C12" s="616" t="s">
        <v>201</v>
      </c>
      <c r="D12" s="927" t="s">
        <v>202</v>
      </c>
      <c r="E12" s="928"/>
      <c r="F12" s="929"/>
      <c r="G12" s="616" t="s">
        <v>181</v>
      </c>
      <c r="H12" s="617" t="s">
        <v>203</v>
      </c>
      <c r="I12" s="598" t="s">
        <v>204</v>
      </c>
      <c r="J12" s="599" t="s">
        <v>205</v>
      </c>
    </row>
    <row r="13" spans="1:12" x14ac:dyDescent="0.25">
      <c r="A13" s="601">
        <v>1</v>
      </c>
      <c r="B13" s="9">
        <v>90777</v>
      </c>
      <c r="C13" s="42" t="s">
        <v>10</v>
      </c>
      <c r="D13" s="921" t="s">
        <v>11</v>
      </c>
      <c r="E13" s="921"/>
      <c r="F13" s="921"/>
      <c r="G13" s="9" t="s">
        <v>12</v>
      </c>
      <c r="H13" s="618">
        <v>140</v>
      </c>
      <c r="I13" s="50">
        <v>93.07</v>
      </c>
      <c r="J13" s="620">
        <f>ROUND(H13*I13,2)</f>
        <v>13029.8</v>
      </c>
    </row>
    <row r="14" spans="1:12" x14ac:dyDescent="0.25">
      <c r="A14" s="601">
        <v>2</v>
      </c>
      <c r="B14" s="9">
        <v>90776</v>
      </c>
      <c r="C14" s="42" t="s">
        <v>10</v>
      </c>
      <c r="D14" s="921" t="s">
        <v>13</v>
      </c>
      <c r="E14" s="921"/>
      <c r="F14" s="921"/>
      <c r="G14" s="18" t="s">
        <v>12</v>
      </c>
      <c r="H14" s="618">
        <v>220</v>
      </c>
      <c r="I14" s="619">
        <v>21.11</v>
      </c>
      <c r="J14" s="620">
        <f>ROUND(H14*I14,2)</f>
        <v>4644.2</v>
      </c>
    </row>
    <row r="15" spans="1:12" ht="15.75" thickBot="1" x14ac:dyDescent="0.3">
      <c r="A15" s="918" t="s">
        <v>689</v>
      </c>
      <c r="B15" s="919"/>
      <c r="C15" s="919"/>
      <c r="D15" s="919"/>
      <c r="E15" s="919"/>
      <c r="F15" s="919"/>
      <c r="G15" s="919"/>
      <c r="H15" s="919"/>
      <c r="I15" s="920"/>
      <c r="J15" s="621">
        <f>SUM(J13:J14)</f>
        <v>17674</v>
      </c>
      <c r="L15" s="108"/>
    </row>
    <row r="16" spans="1:12" ht="16.5" thickBot="1" x14ac:dyDescent="0.3">
      <c r="A16" s="333"/>
      <c r="B16" s="334"/>
      <c r="C16" s="334"/>
      <c r="D16" s="334"/>
      <c r="E16" s="334"/>
      <c r="F16" s="334"/>
      <c r="G16" s="334"/>
      <c r="H16" s="334"/>
      <c r="I16" s="335"/>
      <c r="J16" s="336"/>
    </row>
    <row r="17" spans="1:10" x14ac:dyDescent="0.25">
      <c r="A17" s="889" t="s">
        <v>690</v>
      </c>
      <c r="B17" s="890"/>
      <c r="C17" s="890"/>
      <c r="D17" s="890"/>
      <c r="E17" s="890"/>
      <c r="F17" s="890"/>
      <c r="G17" s="890"/>
      <c r="H17" s="890"/>
      <c r="I17" s="890"/>
      <c r="J17" s="891"/>
    </row>
    <row r="18" spans="1:10" x14ac:dyDescent="0.25">
      <c r="A18" s="892" t="s">
        <v>703</v>
      </c>
      <c r="B18" s="893"/>
      <c r="C18" s="908" t="s">
        <v>704</v>
      </c>
      <c r="D18" s="909"/>
      <c r="E18" s="909"/>
      <c r="F18" s="909"/>
      <c r="G18" s="909"/>
      <c r="H18" s="909"/>
      <c r="I18" s="909"/>
      <c r="J18" s="910"/>
    </row>
    <row r="19" spans="1:10" ht="25.5" x14ac:dyDescent="0.25">
      <c r="A19" s="575" t="s">
        <v>179</v>
      </c>
      <c r="B19" s="576" t="s">
        <v>200</v>
      </c>
      <c r="C19" s="576" t="s">
        <v>201</v>
      </c>
      <c r="D19" s="930" t="s">
        <v>202</v>
      </c>
      <c r="E19" s="930"/>
      <c r="F19" s="930"/>
      <c r="G19" s="593" t="s">
        <v>181</v>
      </c>
      <c r="H19" s="577" t="s">
        <v>203</v>
      </c>
      <c r="I19" s="577" t="s">
        <v>204</v>
      </c>
      <c r="J19" s="578" t="s">
        <v>205</v>
      </c>
    </row>
    <row r="20" spans="1:10" ht="23.25" customHeight="1" x14ac:dyDescent="0.25">
      <c r="A20" s="579">
        <v>1</v>
      </c>
      <c r="B20" s="580">
        <v>1569</v>
      </c>
      <c r="C20" s="581" t="s">
        <v>59</v>
      </c>
      <c r="D20" s="912" t="s">
        <v>705</v>
      </c>
      <c r="E20" s="912"/>
      <c r="F20" s="912"/>
      <c r="G20" s="582" t="s">
        <v>181</v>
      </c>
      <c r="H20" s="583">
        <v>4</v>
      </c>
      <c r="I20" s="584">
        <v>10.39</v>
      </c>
      <c r="J20" s="594">
        <f t="shared" ref="J20:J25" si="0">H20*I20</f>
        <v>41.56</v>
      </c>
    </row>
    <row r="21" spans="1:10" x14ac:dyDescent="0.25">
      <c r="A21" s="579">
        <v>2</v>
      </c>
      <c r="B21" s="585">
        <v>4813</v>
      </c>
      <c r="C21" s="586" t="s">
        <v>10</v>
      </c>
      <c r="D21" s="911" t="s">
        <v>706</v>
      </c>
      <c r="E21" s="911"/>
      <c r="F21" s="911"/>
      <c r="G21" s="587" t="s">
        <v>30</v>
      </c>
      <c r="H21" s="583">
        <v>1</v>
      </c>
      <c r="I21" s="583">
        <v>225</v>
      </c>
      <c r="J21" s="594">
        <f t="shared" si="0"/>
        <v>225</v>
      </c>
    </row>
    <row r="22" spans="1:10" x14ac:dyDescent="0.25">
      <c r="A22" s="579">
        <v>3</v>
      </c>
      <c r="B22" s="585">
        <v>6995</v>
      </c>
      <c r="C22" s="586" t="s">
        <v>59</v>
      </c>
      <c r="D22" s="911" t="s">
        <v>707</v>
      </c>
      <c r="E22" s="911"/>
      <c r="F22" s="911"/>
      <c r="G22" s="587" t="s">
        <v>42</v>
      </c>
      <c r="H22" s="583">
        <v>1</v>
      </c>
      <c r="I22" s="583">
        <v>3.99</v>
      </c>
      <c r="J22" s="594">
        <f t="shared" si="0"/>
        <v>3.99</v>
      </c>
    </row>
    <row r="23" spans="1:10" x14ac:dyDescent="0.25">
      <c r="A23" s="579">
        <v>4</v>
      </c>
      <c r="B23" s="585">
        <v>88262</v>
      </c>
      <c r="C23" s="586" t="s">
        <v>10</v>
      </c>
      <c r="D23" s="911" t="s">
        <v>708</v>
      </c>
      <c r="E23" s="911"/>
      <c r="F23" s="911"/>
      <c r="G23" s="587" t="s">
        <v>12</v>
      </c>
      <c r="H23" s="583">
        <v>1</v>
      </c>
      <c r="I23" s="584">
        <v>18.11</v>
      </c>
      <c r="J23" s="594">
        <f t="shared" si="0"/>
        <v>18.11</v>
      </c>
    </row>
    <row r="24" spans="1:10" x14ac:dyDescent="0.25">
      <c r="A24" s="579">
        <v>5</v>
      </c>
      <c r="B24" s="585">
        <v>5075</v>
      </c>
      <c r="C24" s="586" t="s">
        <v>10</v>
      </c>
      <c r="D24" s="911" t="s">
        <v>709</v>
      </c>
      <c r="E24" s="911"/>
      <c r="F24" s="911"/>
      <c r="G24" s="587" t="s">
        <v>710</v>
      </c>
      <c r="H24" s="583">
        <v>0.15</v>
      </c>
      <c r="I24" s="584">
        <v>23.19</v>
      </c>
      <c r="J24" s="594">
        <f t="shared" si="0"/>
        <v>3.48</v>
      </c>
    </row>
    <row r="25" spans="1:10" x14ac:dyDescent="0.25">
      <c r="A25" s="579">
        <v>6</v>
      </c>
      <c r="B25" s="588">
        <v>88316</v>
      </c>
      <c r="C25" s="589" t="s">
        <v>10</v>
      </c>
      <c r="D25" s="912" t="s">
        <v>676</v>
      </c>
      <c r="E25" s="912"/>
      <c r="F25" s="912"/>
      <c r="G25" s="590" t="s">
        <v>12</v>
      </c>
      <c r="H25" s="591">
        <v>2</v>
      </c>
      <c r="I25" s="591">
        <v>14.84</v>
      </c>
      <c r="J25" s="594">
        <f t="shared" si="0"/>
        <v>29.68</v>
      </c>
    </row>
    <row r="26" spans="1:10" ht="15.75" thickBot="1" x14ac:dyDescent="0.3">
      <c r="A26" s="931" t="s">
        <v>206</v>
      </c>
      <c r="B26" s="932"/>
      <c r="C26" s="932"/>
      <c r="D26" s="932"/>
      <c r="E26" s="932"/>
      <c r="F26" s="932"/>
      <c r="G26" s="932"/>
      <c r="H26" s="932"/>
      <c r="I26" s="933"/>
      <c r="J26" s="592">
        <f>SUM(J20:J25)</f>
        <v>321.82</v>
      </c>
    </row>
    <row r="27" spans="1:10" ht="15.75" thickBot="1" x14ac:dyDescent="0.3"/>
    <row r="28" spans="1:10" x14ac:dyDescent="0.25">
      <c r="A28" s="905" t="s">
        <v>717</v>
      </c>
      <c r="B28" s="906"/>
      <c r="C28" s="906"/>
      <c r="D28" s="906"/>
      <c r="E28" s="906"/>
      <c r="F28" s="906"/>
      <c r="G28" s="906"/>
      <c r="H28" s="906"/>
      <c r="I28" s="906"/>
      <c r="J28" s="907"/>
    </row>
    <row r="29" spans="1:10" x14ac:dyDescent="0.25">
      <c r="A29" s="898" t="s">
        <v>703</v>
      </c>
      <c r="B29" s="899"/>
      <c r="C29" s="900" t="s">
        <v>711</v>
      </c>
      <c r="D29" s="901"/>
      <c r="E29" s="901"/>
      <c r="F29" s="901"/>
      <c r="G29" s="901"/>
      <c r="H29" s="901"/>
      <c r="I29" s="901"/>
      <c r="J29" s="902"/>
    </row>
    <row r="30" spans="1:10" ht="25.5" x14ac:dyDescent="0.25">
      <c r="A30" s="595" t="s">
        <v>179</v>
      </c>
      <c r="B30" s="596" t="s">
        <v>200</v>
      </c>
      <c r="C30" s="596" t="s">
        <v>201</v>
      </c>
      <c r="D30" s="903" t="s">
        <v>202</v>
      </c>
      <c r="E30" s="903"/>
      <c r="F30" s="903"/>
      <c r="G30" s="597" t="s">
        <v>181</v>
      </c>
      <c r="H30" s="598" t="s">
        <v>203</v>
      </c>
      <c r="I30" s="598" t="s">
        <v>204</v>
      </c>
      <c r="J30" s="599" t="s">
        <v>205</v>
      </c>
    </row>
    <row r="31" spans="1:10" x14ac:dyDescent="0.25">
      <c r="A31" s="600">
        <v>1</v>
      </c>
      <c r="B31" s="601">
        <v>80</v>
      </c>
      <c r="C31" s="602" t="s">
        <v>59</v>
      </c>
      <c r="D31" s="894" t="s">
        <v>712</v>
      </c>
      <c r="E31" s="894"/>
      <c r="F31" s="894"/>
      <c r="G31" s="603" t="s">
        <v>710</v>
      </c>
      <c r="H31" s="604">
        <v>3.2000000000000001E-2</v>
      </c>
      <c r="I31" s="605">
        <v>11.43</v>
      </c>
      <c r="J31" s="606">
        <f t="shared" ref="J31:J36" si="1">H31*I31</f>
        <v>0.37</v>
      </c>
    </row>
    <row r="32" spans="1:10" ht="25.5" customHeight="1" x14ac:dyDescent="0.25">
      <c r="A32" s="600">
        <v>2</v>
      </c>
      <c r="B32" s="43">
        <v>2185</v>
      </c>
      <c r="C32" s="607" t="s">
        <v>59</v>
      </c>
      <c r="D32" s="904" t="s">
        <v>713</v>
      </c>
      <c r="E32" s="904"/>
      <c r="F32" s="904"/>
      <c r="G32" s="608" t="s">
        <v>42</v>
      </c>
      <c r="H32" s="604">
        <v>0.1</v>
      </c>
      <c r="I32" s="609">
        <v>3.21</v>
      </c>
      <c r="J32" s="606">
        <f t="shared" si="1"/>
        <v>0.32</v>
      </c>
    </row>
    <row r="33" spans="1:10" x14ac:dyDescent="0.25">
      <c r="A33" s="600">
        <v>3</v>
      </c>
      <c r="B33" s="610">
        <v>88316</v>
      </c>
      <c r="C33" s="611" t="s">
        <v>10</v>
      </c>
      <c r="D33" s="894" t="s">
        <v>676</v>
      </c>
      <c r="E33" s="894"/>
      <c r="F33" s="894"/>
      <c r="G33" s="612" t="s">
        <v>12</v>
      </c>
      <c r="H33" s="604">
        <v>8.3299999999999999E-2</v>
      </c>
      <c r="I33" s="609">
        <v>14.84</v>
      </c>
      <c r="J33" s="606">
        <f t="shared" si="1"/>
        <v>1.24</v>
      </c>
    </row>
    <row r="34" spans="1:10" ht="16.5" x14ac:dyDescent="0.25">
      <c r="A34" s="600">
        <v>4</v>
      </c>
      <c r="B34" s="50">
        <v>79</v>
      </c>
      <c r="C34" s="50" t="s">
        <v>59</v>
      </c>
      <c r="D34" s="934" t="s">
        <v>714</v>
      </c>
      <c r="E34" s="935"/>
      <c r="F34" s="936"/>
      <c r="G34" s="50" t="s">
        <v>30</v>
      </c>
      <c r="H34" s="604">
        <v>1.2E-2</v>
      </c>
      <c r="I34" s="613">
        <v>110.1</v>
      </c>
      <c r="J34" s="606">
        <f t="shared" si="1"/>
        <v>1.32</v>
      </c>
    </row>
    <row r="35" spans="1:10" ht="16.5" x14ac:dyDescent="0.25">
      <c r="A35" s="600">
        <v>5</v>
      </c>
      <c r="B35" s="50">
        <v>95</v>
      </c>
      <c r="C35" s="50" t="s">
        <v>59</v>
      </c>
      <c r="D35" s="934" t="s">
        <v>715</v>
      </c>
      <c r="E35" s="935"/>
      <c r="F35" s="936"/>
      <c r="G35" s="50" t="s">
        <v>34</v>
      </c>
      <c r="H35" s="604">
        <v>1.4E-3</v>
      </c>
      <c r="I35" s="613">
        <v>470.96</v>
      </c>
      <c r="J35" s="606">
        <f t="shared" si="1"/>
        <v>0.66</v>
      </c>
    </row>
    <row r="36" spans="1:10" ht="16.5" x14ac:dyDescent="0.25">
      <c r="A36" s="600">
        <v>6</v>
      </c>
      <c r="B36" s="50">
        <v>345</v>
      </c>
      <c r="C36" s="50" t="s">
        <v>10</v>
      </c>
      <c r="D36" s="934" t="s">
        <v>716</v>
      </c>
      <c r="E36" s="935"/>
      <c r="F36" s="936"/>
      <c r="G36" s="50" t="s">
        <v>710</v>
      </c>
      <c r="H36" s="604">
        <v>9.5999999999999992E-3</v>
      </c>
      <c r="I36" s="613">
        <v>35.659999999999997</v>
      </c>
      <c r="J36" s="606">
        <f t="shared" si="1"/>
        <v>0.34</v>
      </c>
    </row>
    <row r="37" spans="1:10" ht="17.25" thickBot="1" x14ac:dyDescent="0.35">
      <c r="A37" s="895" t="s">
        <v>206</v>
      </c>
      <c r="B37" s="896"/>
      <c r="C37" s="896"/>
      <c r="D37" s="896"/>
      <c r="E37" s="896"/>
      <c r="F37" s="896"/>
      <c r="G37" s="896"/>
      <c r="H37" s="896"/>
      <c r="I37" s="897"/>
      <c r="J37" s="614">
        <f>SUM(J31:J36)</f>
        <v>4.25</v>
      </c>
    </row>
    <row r="38" spans="1:10" ht="15.75" thickBot="1" x14ac:dyDescent="0.3"/>
    <row r="39" spans="1:10" x14ac:dyDescent="0.25">
      <c r="A39" s="905" t="s">
        <v>719</v>
      </c>
      <c r="B39" s="906"/>
      <c r="C39" s="906"/>
      <c r="D39" s="906"/>
      <c r="E39" s="906"/>
      <c r="F39" s="906"/>
      <c r="G39" s="906"/>
      <c r="H39" s="906"/>
      <c r="I39" s="906"/>
      <c r="J39" s="907"/>
    </row>
    <row r="40" spans="1:10" ht="22.15" customHeight="1" x14ac:dyDescent="0.25">
      <c r="A40" s="898" t="s">
        <v>700</v>
      </c>
      <c r="B40" s="899"/>
      <c r="C40" s="900" t="s">
        <v>718</v>
      </c>
      <c r="D40" s="901"/>
      <c r="E40" s="901"/>
      <c r="F40" s="901"/>
      <c r="G40" s="901"/>
      <c r="H40" s="901"/>
      <c r="I40" s="901"/>
      <c r="J40" s="902"/>
    </row>
    <row r="41" spans="1:10" ht="25.5" x14ac:dyDescent="0.25">
      <c r="A41" s="595" t="s">
        <v>179</v>
      </c>
      <c r="B41" s="596" t="s">
        <v>200</v>
      </c>
      <c r="C41" s="596" t="s">
        <v>201</v>
      </c>
      <c r="D41" s="903" t="s">
        <v>202</v>
      </c>
      <c r="E41" s="903"/>
      <c r="F41" s="903"/>
      <c r="G41" s="597" t="s">
        <v>181</v>
      </c>
      <c r="H41" s="598" t="s">
        <v>203</v>
      </c>
      <c r="I41" s="598" t="s">
        <v>204</v>
      </c>
      <c r="J41" s="599" t="s">
        <v>205</v>
      </c>
    </row>
    <row r="42" spans="1:10" x14ac:dyDescent="0.25">
      <c r="A42" s="600">
        <v>1</v>
      </c>
      <c r="B42" s="622">
        <v>88316</v>
      </c>
      <c r="C42" s="623" t="s">
        <v>10</v>
      </c>
      <c r="D42" s="937" t="s">
        <v>676</v>
      </c>
      <c r="E42" s="938"/>
      <c r="F42" s="939"/>
      <c r="G42" s="623" t="s">
        <v>12</v>
      </c>
      <c r="H42" s="624">
        <v>8</v>
      </c>
      <c r="I42" s="605">
        <v>14.84</v>
      </c>
      <c r="J42" s="606">
        <f t="shared" ref="J42:J59" si="2">H42*I42</f>
        <v>118.72</v>
      </c>
    </row>
    <row r="43" spans="1:10" x14ac:dyDescent="0.25">
      <c r="A43" s="600">
        <f>A42+1</f>
        <v>2</v>
      </c>
      <c r="B43" s="622">
        <v>88309</v>
      </c>
      <c r="C43" s="623" t="s">
        <v>10</v>
      </c>
      <c r="D43" s="937" t="s">
        <v>720</v>
      </c>
      <c r="E43" s="938"/>
      <c r="F43" s="939"/>
      <c r="G43" s="623" t="s">
        <v>12</v>
      </c>
      <c r="H43" s="624">
        <v>2</v>
      </c>
      <c r="I43" s="605">
        <v>18.309999999999999</v>
      </c>
      <c r="J43" s="606">
        <f t="shared" si="2"/>
        <v>36.619999999999997</v>
      </c>
    </row>
    <row r="44" spans="1:10" x14ac:dyDescent="0.25">
      <c r="A44" s="600">
        <f t="shared" ref="A44:A59" si="3">A43+1</f>
        <v>3</v>
      </c>
      <c r="B44" s="622">
        <v>88264</v>
      </c>
      <c r="C44" s="623" t="s">
        <v>10</v>
      </c>
      <c r="D44" s="937" t="s">
        <v>721</v>
      </c>
      <c r="E44" s="938"/>
      <c r="F44" s="939"/>
      <c r="G44" s="623" t="s">
        <v>12</v>
      </c>
      <c r="H44" s="624">
        <v>8</v>
      </c>
      <c r="I44" s="605">
        <v>22.23</v>
      </c>
      <c r="J44" s="606">
        <f t="shared" si="2"/>
        <v>177.84</v>
      </c>
    </row>
    <row r="45" spans="1:10" ht="26.45" customHeight="1" x14ac:dyDescent="0.25">
      <c r="A45" s="600">
        <f t="shared" si="3"/>
        <v>4</v>
      </c>
      <c r="B45" s="622">
        <v>94975</v>
      </c>
      <c r="C45" s="623" t="s">
        <v>10</v>
      </c>
      <c r="D45" s="937" t="s">
        <v>722</v>
      </c>
      <c r="E45" s="938"/>
      <c r="F45" s="939"/>
      <c r="G45" s="623" t="s">
        <v>34</v>
      </c>
      <c r="H45" s="624">
        <v>0.08</v>
      </c>
      <c r="I45" s="605">
        <v>379.19</v>
      </c>
      <c r="J45" s="606">
        <f t="shared" si="2"/>
        <v>30.34</v>
      </c>
    </row>
    <row r="46" spans="1:10" ht="39.6" customHeight="1" x14ac:dyDescent="0.25">
      <c r="A46" s="600">
        <f t="shared" si="3"/>
        <v>5</v>
      </c>
      <c r="B46" s="622">
        <v>420</v>
      </c>
      <c r="C46" s="623" t="s">
        <v>10</v>
      </c>
      <c r="D46" s="937" t="s">
        <v>723</v>
      </c>
      <c r="E46" s="938"/>
      <c r="F46" s="939"/>
      <c r="G46" s="623" t="s">
        <v>57</v>
      </c>
      <c r="H46" s="624">
        <v>1</v>
      </c>
      <c r="I46" s="605">
        <v>34.229999999999997</v>
      </c>
      <c r="J46" s="606">
        <f t="shared" si="2"/>
        <v>34.229999999999997</v>
      </c>
    </row>
    <row r="47" spans="1:10" ht="26.45" customHeight="1" x14ac:dyDescent="0.25">
      <c r="A47" s="600">
        <f t="shared" si="3"/>
        <v>6</v>
      </c>
      <c r="B47" s="622">
        <v>1892</v>
      </c>
      <c r="C47" s="623" t="s">
        <v>10</v>
      </c>
      <c r="D47" s="937" t="s">
        <v>724</v>
      </c>
      <c r="E47" s="938"/>
      <c r="F47" s="939"/>
      <c r="G47" s="623" t="s">
        <v>57</v>
      </c>
      <c r="H47" s="624">
        <v>4</v>
      </c>
      <c r="I47" s="605">
        <v>1.65</v>
      </c>
      <c r="J47" s="606">
        <f t="shared" si="2"/>
        <v>6.6</v>
      </c>
    </row>
    <row r="48" spans="1:10" ht="26.45" customHeight="1" x14ac:dyDescent="0.25">
      <c r="A48" s="600">
        <f t="shared" si="3"/>
        <v>7</v>
      </c>
      <c r="B48" s="622">
        <v>2392</v>
      </c>
      <c r="C48" s="623" t="s">
        <v>10</v>
      </c>
      <c r="D48" s="937" t="s">
        <v>725</v>
      </c>
      <c r="E48" s="938"/>
      <c r="F48" s="939"/>
      <c r="G48" s="623" t="s">
        <v>57</v>
      </c>
      <c r="H48" s="624">
        <v>1</v>
      </c>
      <c r="I48" s="605">
        <v>87.26</v>
      </c>
      <c r="J48" s="606">
        <f t="shared" si="2"/>
        <v>87.26</v>
      </c>
    </row>
    <row r="49" spans="1:10" ht="26.45" customHeight="1" x14ac:dyDescent="0.25">
      <c r="A49" s="600">
        <f t="shared" si="3"/>
        <v>8</v>
      </c>
      <c r="B49" s="622">
        <v>2685</v>
      </c>
      <c r="C49" s="623" t="s">
        <v>10</v>
      </c>
      <c r="D49" s="937" t="s">
        <v>726</v>
      </c>
      <c r="E49" s="938"/>
      <c r="F49" s="939"/>
      <c r="G49" s="623" t="s">
        <v>42</v>
      </c>
      <c r="H49" s="624">
        <v>6</v>
      </c>
      <c r="I49" s="605">
        <v>5.78</v>
      </c>
      <c r="J49" s="606">
        <f t="shared" si="2"/>
        <v>34.68</v>
      </c>
    </row>
    <row r="50" spans="1:10" ht="52.9" customHeight="1" x14ac:dyDescent="0.25">
      <c r="A50" s="600">
        <f t="shared" si="3"/>
        <v>9</v>
      </c>
      <c r="B50" s="622">
        <v>3379</v>
      </c>
      <c r="C50" s="623" t="s">
        <v>10</v>
      </c>
      <c r="D50" s="937" t="s">
        <v>727</v>
      </c>
      <c r="E50" s="938"/>
      <c r="F50" s="939"/>
      <c r="G50" s="623" t="s">
        <v>57</v>
      </c>
      <c r="H50" s="624">
        <v>1</v>
      </c>
      <c r="I50" s="605">
        <v>41.13</v>
      </c>
      <c r="J50" s="606">
        <f t="shared" si="2"/>
        <v>41.13</v>
      </c>
    </row>
    <row r="51" spans="1:10" ht="26.45" customHeight="1" x14ac:dyDescent="0.25">
      <c r="A51" s="600">
        <f t="shared" si="3"/>
        <v>10</v>
      </c>
      <c r="B51" s="622">
        <v>3398</v>
      </c>
      <c r="C51" s="623" t="s">
        <v>10</v>
      </c>
      <c r="D51" s="937" t="s">
        <v>728</v>
      </c>
      <c r="E51" s="938"/>
      <c r="F51" s="939"/>
      <c r="G51" s="623" t="s">
        <v>57</v>
      </c>
      <c r="H51" s="624">
        <v>1</v>
      </c>
      <c r="I51" s="605">
        <v>3.04</v>
      </c>
      <c r="J51" s="606">
        <f t="shared" si="2"/>
        <v>3.04</v>
      </c>
    </row>
    <row r="52" spans="1:10" ht="26.45" customHeight="1" x14ac:dyDescent="0.25">
      <c r="A52" s="600">
        <f t="shared" si="3"/>
        <v>11</v>
      </c>
      <c r="B52" s="622">
        <v>39210</v>
      </c>
      <c r="C52" s="623" t="s">
        <v>10</v>
      </c>
      <c r="D52" s="937" t="s">
        <v>729</v>
      </c>
      <c r="E52" s="938"/>
      <c r="F52" s="939"/>
      <c r="G52" s="623" t="s">
        <v>57</v>
      </c>
      <c r="H52" s="624">
        <v>2</v>
      </c>
      <c r="I52" s="605">
        <v>0.83</v>
      </c>
      <c r="J52" s="606">
        <f t="shared" si="2"/>
        <v>1.66</v>
      </c>
    </row>
    <row r="53" spans="1:10" ht="26.45" customHeight="1" x14ac:dyDescent="0.25">
      <c r="A53" s="600">
        <f t="shared" si="3"/>
        <v>12</v>
      </c>
      <c r="B53" s="622">
        <v>39176</v>
      </c>
      <c r="C53" s="623" t="s">
        <v>10</v>
      </c>
      <c r="D53" s="937" t="s">
        <v>730</v>
      </c>
      <c r="E53" s="938"/>
      <c r="F53" s="939"/>
      <c r="G53" s="623" t="s">
        <v>57</v>
      </c>
      <c r="H53" s="624">
        <v>2</v>
      </c>
      <c r="I53" s="605">
        <v>1.1100000000000001</v>
      </c>
      <c r="J53" s="606">
        <f t="shared" si="2"/>
        <v>2.2200000000000002</v>
      </c>
    </row>
    <row r="54" spans="1:10" ht="39.6" customHeight="1" x14ac:dyDescent="0.25">
      <c r="A54" s="600">
        <f t="shared" si="3"/>
        <v>13</v>
      </c>
      <c r="B54" s="622">
        <v>39241</v>
      </c>
      <c r="C54" s="623" t="s">
        <v>10</v>
      </c>
      <c r="D54" s="937" t="s">
        <v>731</v>
      </c>
      <c r="E54" s="938"/>
      <c r="F54" s="939"/>
      <c r="G54" s="623" t="s">
        <v>42</v>
      </c>
      <c r="H54" s="624">
        <v>30</v>
      </c>
      <c r="I54" s="605">
        <v>18.84</v>
      </c>
      <c r="J54" s="606">
        <f t="shared" si="2"/>
        <v>565.20000000000005</v>
      </c>
    </row>
    <row r="55" spans="1:10" ht="39.6" customHeight="1" x14ac:dyDescent="0.25">
      <c r="A55" s="600">
        <f t="shared" si="3"/>
        <v>14</v>
      </c>
      <c r="B55" s="622">
        <v>1062</v>
      </c>
      <c r="C55" s="623" t="s">
        <v>10</v>
      </c>
      <c r="D55" s="937" t="s">
        <v>732</v>
      </c>
      <c r="E55" s="938"/>
      <c r="F55" s="939"/>
      <c r="G55" s="623" t="s">
        <v>57</v>
      </c>
      <c r="H55" s="624">
        <v>1</v>
      </c>
      <c r="I55" s="605">
        <v>367.84</v>
      </c>
      <c r="J55" s="606">
        <f t="shared" si="2"/>
        <v>367.84</v>
      </c>
    </row>
    <row r="56" spans="1:10" ht="26.45" customHeight="1" x14ac:dyDescent="0.25">
      <c r="A56" s="600">
        <f t="shared" si="3"/>
        <v>15</v>
      </c>
      <c r="B56" s="622">
        <v>2645</v>
      </c>
      <c r="C56" s="623" t="s">
        <v>59</v>
      </c>
      <c r="D56" s="937" t="s">
        <v>733</v>
      </c>
      <c r="E56" s="938"/>
      <c r="F56" s="939"/>
      <c r="G56" s="623" t="s">
        <v>57</v>
      </c>
      <c r="H56" s="624">
        <v>1</v>
      </c>
      <c r="I56" s="605">
        <v>1542.05</v>
      </c>
      <c r="J56" s="606">
        <f t="shared" si="2"/>
        <v>1542.05</v>
      </c>
    </row>
    <row r="57" spans="1:10" x14ac:dyDescent="0.25">
      <c r="A57" s="600">
        <f t="shared" si="3"/>
        <v>16</v>
      </c>
      <c r="B57" s="622">
        <v>857</v>
      </c>
      <c r="C57" s="623" t="s">
        <v>10</v>
      </c>
      <c r="D57" s="937" t="s">
        <v>734</v>
      </c>
      <c r="E57" s="938"/>
      <c r="F57" s="939"/>
      <c r="G57" s="623" t="s">
        <v>42</v>
      </c>
      <c r="H57" s="624">
        <v>0.43</v>
      </c>
      <c r="I57" s="609">
        <v>22.5</v>
      </c>
      <c r="J57" s="606">
        <f t="shared" si="2"/>
        <v>9.68</v>
      </c>
    </row>
    <row r="58" spans="1:10" ht="26.45" customHeight="1" x14ac:dyDescent="0.25">
      <c r="A58" s="600">
        <f t="shared" si="3"/>
        <v>17</v>
      </c>
      <c r="B58" s="622">
        <v>406</v>
      </c>
      <c r="C58" s="623" t="s">
        <v>10</v>
      </c>
      <c r="D58" s="937" t="s">
        <v>735</v>
      </c>
      <c r="E58" s="938"/>
      <c r="F58" s="939"/>
      <c r="G58" s="623" t="s">
        <v>57</v>
      </c>
      <c r="H58" s="624">
        <v>0</v>
      </c>
      <c r="I58" s="609">
        <v>73</v>
      </c>
      <c r="J58" s="606">
        <f t="shared" si="2"/>
        <v>0</v>
      </c>
    </row>
    <row r="59" spans="1:10" ht="39.6" customHeight="1" x14ac:dyDescent="0.25">
      <c r="A59" s="600">
        <f t="shared" si="3"/>
        <v>18</v>
      </c>
      <c r="B59" s="622">
        <v>4346</v>
      </c>
      <c r="C59" s="623" t="s">
        <v>10</v>
      </c>
      <c r="D59" s="937" t="s">
        <v>736</v>
      </c>
      <c r="E59" s="938"/>
      <c r="F59" s="939"/>
      <c r="G59" s="623" t="s">
        <v>57</v>
      </c>
      <c r="H59" s="624">
        <v>2</v>
      </c>
      <c r="I59" s="605">
        <v>6.42</v>
      </c>
      <c r="J59" s="606">
        <f t="shared" si="2"/>
        <v>12.84</v>
      </c>
    </row>
    <row r="60" spans="1:10" ht="17.25" thickBot="1" x14ac:dyDescent="0.35">
      <c r="A60" s="895" t="s">
        <v>206</v>
      </c>
      <c r="B60" s="896"/>
      <c r="C60" s="896"/>
      <c r="D60" s="896"/>
      <c r="E60" s="896"/>
      <c r="F60" s="896"/>
      <c r="G60" s="896"/>
      <c r="H60" s="896"/>
      <c r="I60" s="897"/>
      <c r="J60" s="614">
        <f>SUM(J42:J59)</f>
        <v>3071.95</v>
      </c>
    </row>
    <row r="61" spans="1:10" ht="17.25" thickBot="1" x14ac:dyDescent="0.35">
      <c r="A61" s="696"/>
      <c r="B61" s="696"/>
      <c r="C61" s="696"/>
      <c r="D61" s="696"/>
      <c r="E61" s="696"/>
      <c r="F61" s="696"/>
      <c r="G61" s="696"/>
      <c r="H61" s="696"/>
      <c r="I61" s="696"/>
      <c r="J61" s="697"/>
    </row>
    <row r="62" spans="1:10" x14ac:dyDescent="0.25">
      <c r="A62" s="905" t="s">
        <v>741</v>
      </c>
      <c r="B62" s="906"/>
      <c r="C62" s="906"/>
      <c r="D62" s="906"/>
      <c r="E62" s="906"/>
      <c r="F62" s="906"/>
      <c r="G62" s="906"/>
      <c r="H62" s="906"/>
      <c r="I62" s="906"/>
      <c r="J62" s="907"/>
    </row>
    <row r="63" spans="1:10" x14ac:dyDescent="0.25">
      <c r="A63" s="898" t="s">
        <v>789</v>
      </c>
      <c r="B63" s="899"/>
      <c r="C63" s="900" t="s">
        <v>788</v>
      </c>
      <c r="D63" s="901"/>
      <c r="E63" s="901"/>
      <c r="F63" s="901"/>
      <c r="G63" s="901"/>
      <c r="H63" s="901"/>
      <c r="I63" s="901"/>
      <c r="J63" s="902"/>
    </row>
    <row r="64" spans="1:10" ht="25.5" x14ac:dyDescent="0.25">
      <c r="A64" s="595" t="s">
        <v>179</v>
      </c>
      <c r="B64" s="693" t="s">
        <v>200</v>
      </c>
      <c r="C64" s="693" t="s">
        <v>201</v>
      </c>
      <c r="D64" s="903" t="s">
        <v>202</v>
      </c>
      <c r="E64" s="903"/>
      <c r="F64" s="903"/>
      <c r="G64" s="597" t="s">
        <v>181</v>
      </c>
      <c r="H64" s="598" t="s">
        <v>203</v>
      </c>
      <c r="I64" s="598" t="s">
        <v>204</v>
      </c>
      <c r="J64" s="599" t="s">
        <v>205</v>
      </c>
    </row>
    <row r="65" spans="1:10" x14ac:dyDescent="0.25">
      <c r="A65" s="600">
        <v>1</v>
      </c>
      <c r="B65" s="601">
        <v>88316</v>
      </c>
      <c r="C65" s="602" t="s">
        <v>10</v>
      </c>
      <c r="D65" s="894" t="s">
        <v>790</v>
      </c>
      <c r="E65" s="894"/>
      <c r="F65" s="894"/>
      <c r="G65" s="603" t="s">
        <v>12</v>
      </c>
      <c r="H65" s="604">
        <v>0.4</v>
      </c>
      <c r="I65" s="605">
        <v>14.84</v>
      </c>
      <c r="J65" s="606">
        <f>H65*I65</f>
        <v>5.94</v>
      </c>
    </row>
    <row r="66" spans="1:10" ht="24.75" customHeight="1" x14ac:dyDescent="0.25">
      <c r="A66" s="600">
        <v>2</v>
      </c>
      <c r="B66" s="43">
        <v>4374</v>
      </c>
      <c r="C66" s="602" t="s">
        <v>10</v>
      </c>
      <c r="D66" s="904" t="s">
        <v>791</v>
      </c>
      <c r="E66" s="904"/>
      <c r="F66" s="904"/>
      <c r="G66" s="608" t="s">
        <v>181</v>
      </c>
      <c r="H66" s="604">
        <v>4</v>
      </c>
      <c r="I66" s="609">
        <v>0.37</v>
      </c>
      <c r="J66" s="606">
        <f>H66*I66</f>
        <v>1.48</v>
      </c>
    </row>
    <row r="67" spans="1:10" x14ac:dyDescent="0.25">
      <c r="A67" s="600">
        <v>3</v>
      </c>
      <c r="B67" s="610">
        <v>13521</v>
      </c>
      <c r="C67" s="602" t="s">
        <v>10</v>
      </c>
      <c r="D67" s="894" t="s">
        <v>579</v>
      </c>
      <c r="E67" s="894"/>
      <c r="F67" s="894"/>
      <c r="G67" s="612" t="s">
        <v>181</v>
      </c>
      <c r="H67" s="604">
        <v>1</v>
      </c>
      <c r="I67" s="609">
        <v>74.25</v>
      </c>
      <c r="J67" s="606">
        <f>H67*I67</f>
        <v>74.25</v>
      </c>
    </row>
    <row r="68" spans="1:10" ht="17.25" thickBot="1" x14ac:dyDescent="0.35">
      <c r="A68" s="895" t="s">
        <v>206</v>
      </c>
      <c r="B68" s="896"/>
      <c r="C68" s="896"/>
      <c r="D68" s="896"/>
      <c r="E68" s="896"/>
      <c r="F68" s="896"/>
      <c r="G68" s="896"/>
      <c r="H68" s="896"/>
      <c r="I68" s="897"/>
      <c r="J68" s="614">
        <f>SUM(J65:J67)</f>
        <v>81.67</v>
      </c>
    </row>
    <row r="69" spans="1:10" ht="17.25" thickBot="1" x14ac:dyDescent="0.35">
      <c r="A69" s="696"/>
      <c r="B69" s="696"/>
      <c r="C69" s="696"/>
      <c r="D69" s="696"/>
      <c r="E69" s="696"/>
      <c r="F69" s="696"/>
      <c r="G69" s="696"/>
      <c r="H69" s="696"/>
      <c r="I69" s="696"/>
      <c r="J69" s="697"/>
    </row>
    <row r="70" spans="1:10" x14ac:dyDescent="0.25">
      <c r="A70" s="905" t="s">
        <v>747</v>
      </c>
      <c r="B70" s="906"/>
      <c r="C70" s="906"/>
      <c r="D70" s="906"/>
      <c r="E70" s="906"/>
      <c r="F70" s="906"/>
      <c r="G70" s="906"/>
      <c r="H70" s="906"/>
      <c r="I70" s="906"/>
      <c r="J70" s="907"/>
    </row>
    <row r="71" spans="1:10" ht="30.6" customHeight="1" x14ac:dyDescent="0.25">
      <c r="A71" s="947">
        <v>72</v>
      </c>
      <c r="B71" s="947"/>
      <c r="C71" s="946" t="s">
        <v>688</v>
      </c>
      <c r="D71" s="946"/>
      <c r="E71" s="946"/>
      <c r="F71" s="946"/>
      <c r="G71" s="946"/>
      <c r="H71" s="946"/>
      <c r="I71" s="946"/>
      <c r="J71" s="946"/>
    </row>
    <row r="72" spans="1:10" ht="31.5" x14ac:dyDescent="0.25">
      <c r="A72" s="337" t="s">
        <v>179</v>
      </c>
      <c r="B72" s="338" t="s">
        <v>200</v>
      </c>
      <c r="C72" s="338" t="s">
        <v>201</v>
      </c>
      <c r="D72" s="948" t="s">
        <v>202</v>
      </c>
      <c r="E72" s="949"/>
      <c r="F72" s="950"/>
      <c r="G72" s="338" t="s">
        <v>181</v>
      </c>
      <c r="H72" s="339" t="s">
        <v>203</v>
      </c>
      <c r="I72" s="109" t="s">
        <v>204</v>
      </c>
      <c r="J72" s="110" t="s">
        <v>205</v>
      </c>
    </row>
    <row r="73" spans="1:10" ht="52.15" customHeight="1" x14ac:dyDescent="0.25">
      <c r="A73" s="428">
        <v>1</v>
      </c>
      <c r="B73" s="428" t="s">
        <v>667</v>
      </c>
      <c r="C73" s="428" t="s">
        <v>10</v>
      </c>
      <c r="D73" s="951" t="s">
        <v>668</v>
      </c>
      <c r="E73" s="951"/>
      <c r="F73" s="951"/>
      <c r="G73" s="429" t="s">
        <v>669</v>
      </c>
      <c r="H73" s="430">
        <v>3.0999999999999999E-3</v>
      </c>
      <c r="I73" s="431">
        <v>118.79</v>
      </c>
      <c r="J73" s="432">
        <f>ROUND(H73*I73,2)</f>
        <v>0.37</v>
      </c>
    </row>
    <row r="74" spans="1:10" ht="52.15" customHeight="1" x14ac:dyDescent="0.25">
      <c r="A74" s="428">
        <v>2</v>
      </c>
      <c r="B74" s="428" t="s">
        <v>670</v>
      </c>
      <c r="C74" s="428" t="s">
        <v>10</v>
      </c>
      <c r="D74" s="943" t="s">
        <v>671</v>
      </c>
      <c r="E74" s="944"/>
      <c r="F74" s="945"/>
      <c r="G74" s="429" t="s">
        <v>672</v>
      </c>
      <c r="H74" s="430">
        <v>0.13089999999999999</v>
      </c>
      <c r="I74" s="431">
        <v>44.66</v>
      </c>
      <c r="J74" s="432">
        <f t="shared" ref="J74:J81" si="4">ROUND(H74*I74,2)</f>
        <v>5.85</v>
      </c>
    </row>
    <row r="75" spans="1:10" ht="23.45" customHeight="1" x14ac:dyDescent="0.25">
      <c r="A75" s="428">
        <v>3</v>
      </c>
      <c r="B75" s="428" t="s">
        <v>673</v>
      </c>
      <c r="C75" s="428" t="s">
        <v>10</v>
      </c>
      <c r="D75" s="943" t="s">
        <v>674</v>
      </c>
      <c r="E75" s="944"/>
      <c r="F75" s="945"/>
      <c r="G75" s="429" t="s">
        <v>12</v>
      </c>
      <c r="H75" s="430">
        <v>0.40210000000000001</v>
      </c>
      <c r="I75" s="431">
        <v>18.68</v>
      </c>
      <c r="J75" s="432">
        <f t="shared" si="4"/>
        <v>7.51</v>
      </c>
    </row>
    <row r="76" spans="1:10" ht="23.45" customHeight="1" x14ac:dyDescent="0.25">
      <c r="A76" s="428">
        <v>4</v>
      </c>
      <c r="B76" s="428" t="s">
        <v>675</v>
      </c>
      <c r="C76" s="428" t="s">
        <v>10</v>
      </c>
      <c r="D76" s="943" t="s">
        <v>676</v>
      </c>
      <c r="E76" s="944"/>
      <c r="F76" s="945"/>
      <c r="G76" s="429" t="s">
        <v>12</v>
      </c>
      <c r="H76" s="430">
        <v>0.40210000000000001</v>
      </c>
      <c r="I76" s="431">
        <v>14.84</v>
      </c>
      <c r="J76" s="432">
        <f t="shared" si="4"/>
        <v>5.97</v>
      </c>
    </row>
    <row r="77" spans="1:10" ht="39.6" customHeight="1" x14ac:dyDescent="0.25">
      <c r="A77" s="428">
        <v>5</v>
      </c>
      <c r="B77" s="428" t="s">
        <v>677</v>
      </c>
      <c r="C77" s="428" t="s">
        <v>10</v>
      </c>
      <c r="D77" s="943" t="s">
        <v>678</v>
      </c>
      <c r="E77" s="944"/>
      <c r="F77" s="945"/>
      <c r="G77" s="429" t="s">
        <v>679</v>
      </c>
      <c r="H77" s="430">
        <v>2.0400000000000001E-2</v>
      </c>
      <c r="I77" s="431">
        <v>447.96</v>
      </c>
      <c r="J77" s="432">
        <f t="shared" si="4"/>
        <v>9.14</v>
      </c>
    </row>
    <row r="78" spans="1:10" ht="43.9" customHeight="1" x14ac:dyDescent="0.25">
      <c r="A78" s="428">
        <v>6</v>
      </c>
      <c r="B78" s="428" t="s">
        <v>680</v>
      </c>
      <c r="C78" s="428" t="s">
        <v>10</v>
      </c>
      <c r="D78" s="943" t="s">
        <v>681</v>
      </c>
      <c r="E78" s="944"/>
      <c r="F78" s="945"/>
      <c r="G78" s="429" t="s">
        <v>682</v>
      </c>
      <c r="H78" s="430">
        <v>5.17</v>
      </c>
      <c r="I78" s="431">
        <v>1.18</v>
      </c>
      <c r="J78" s="432">
        <f t="shared" si="4"/>
        <v>6.1</v>
      </c>
    </row>
    <row r="79" spans="1:10" ht="52.15" customHeight="1" x14ac:dyDescent="0.25">
      <c r="A79" s="428">
        <v>7</v>
      </c>
      <c r="B79" s="428" t="s">
        <v>683</v>
      </c>
      <c r="C79" s="428" t="s">
        <v>10</v>
      </c>
      <c r="D79" s="943" t="s">
        <v>684</v>
      </c>
      <c r="E79" s="944"/>
      <c r="F79" s="945"/>
      <c r="G79" s="429" t="s">
        <v>682</v>
      </c>
      <c r="H79" s="430">
        <v>4.26</v>
      </c>
      <c r="I79" s="431">
        <v>0.46</v>
      </c>
      <c r="J79" s="432">
        <f t="shared" si="4"/>
        <v>1.96</v>
      </c>
    </row>
    <row r="80" spans="1:10" ht="34.15" customHeight="1" x14ac:dyDescent="0.25">
      <c r="A80" s="428">
        <v>8</v>
      </c>
      <c r="B80" s="428">
        <v>367</v>
      </c>
      <c r="C80" s="428" t="s">
        <v>10</v>
      </c>
      <c r="D80" s="943" t="s">
        <v>685</v>
      </c>
      <c r="E80" s="944"/>
      <c r="F80" s="945"/>
      <c r="G80" s="429" t="s">
        <v>679</v>
      </c>
      <c r="H80" s="430">
        <v>0.114</v>
      </c>
      <c r="I80" s="626">
        <v>80</v>
      </c>
      <c r="J80" s="432">
        <f t="shared" si="4"/>
        <v>9.1199999999999992</v>
      </c>
    </row>
    <row r="81" spans="1:10" ht="30.6" customHeight="1" x14ac:dyDescent="0.25">
      <c r="A81" s="428">
        <v>9</v>
      </c>
      <c r="B81" s="428">
        <v>4385</v>
      </c>
      <c r="C81" s="428" t="s">
        <v>10</v>
      </c>
      <c r="D81" s="943" t="s">
        <v>686</v>
      </c>
      <c r="E81" s="944"/>
      <c r="F81" s="945"/>
      <c r="G81" s="429" t="s">
        <v>687</v>
      </c>
      <c r="H81" s="430">
        <v>3.3000000000000002E-2</v>
      </c>
      <c r="I81" s="431">
        <v>693.17</v>
      </c>
      <c r="J81" s="432">
        <f t="shared" si="4"/>
        <v>22.87</v>
      </c>
    </row>
    <row r="82" spans="1:10" ht="16.5" thickBot="1" x14ac:dyDescent="0.3">
      <c r="A82" s="952" t="s">
        <v>689</v>
      </c>
      <c r="B82" s="953"/>
      <c r="C82" s="953"/>
      <c r="D82" s="953"/>
      <c r="E82" s="953"/>
      <c r="F82" s="953"/>
      <c r="G82" s="953"/>
      <c r="H82" s="953"/>
      <c r="I82" s="954"/>
      <c r="J82" s="433">
        <f>SUM(J73:J81)</f>
        <v>68.89</v>
      </c>
    </row>
    <row r="83" spans="1:10" ht="15.75" thickBot="1" x14ac:dyDescent="0.3"/>
    <row r="84" spans="1:10" x14ac:dyDescent="0.25">
      <c r="A84" s="905" t="s">
        <v>836</v>
      </c>
      <c r="B84" s="906"/>
      <c r="C84" s="906"/>
      <c r="D84" s="906"/>
      <c r="E84" s="906"/>
      <c r="F84" s="906"/>
      <c r="G84" s="906"/>
      <c r="H84" s="906"/>
      <c r="I84" s="906"/>
      <c r="J84" s="907"/>
    </row>
    <row r="85" spans="1:10" ht="36" customHeight="1" x14ac:dyDescent="0.25">
      <c r="A85" s="947" t="s">
        <v>743</v>
      </c>
      <c r="B85" s="947"/>
      <c r="C85" s="946" t="s">
        <v>742</v>
      </c>
      <c r="D85" s="946"/>
      <c r="E85" s="946"/>
      <c r="F85" s="946"/>
      <c r="G85" s="946"/>
      <c r="H85" s="946"/>
      <c r="I85" s="946"/>
      <c r="J85" s="946"/>
    </row>
    <row r="86" spans="1:10" ht="31.5" x14ac:dyDescent="0.25">
      <c r="A86" s="337" t="s">
        <v>179</v>
      </c>
      <c r="B86" s="338" t="s">
        <v>200</v>
      </c>
      <c r="C86" s="338" t="s">
        <v>201</v>
      </c>
      <c r="D86" s="948" t="s">
        <v>202</v>
      </c>
      <c r="E86" s="949"/>
      <c r="F86" s="950"/>
      <c r="G86" s="338" t="s">
        <v>181</v>
      </c>
      <c r="H86" s="339" t="s">
        <v>203</v>
      </c>
      <c r="I86" s="109" t="s">
        <v>204</v>
      </c>
      <c r="J86" s="110" t="s">
        <v>205</v>
      </c>
    </row>
    <row r="87" spans="1:10" ht="15.75" x14ac:dyDescent="0.25">
      <c r="A87" s="627">
        <v>1</v>
      </c>
      <c r="B87" s="622">
        <v>88309</v>
      </c>
      <c r="C87" s="623" t="s">
        <v>10</v>
      </c>
      <c r="D87" s="937" t="s">
        <v>720</v>
      </c>
      <c r="E87" s="938"/>
      <c r="F87" s="939"/>
      <c r="G87" s="623" t="s">
        <v>12</v>
      </c>
      <c r="H87" s="629">
        <v>0.5</v>
      </c>
      <c r="I87" s="630">
        <v>18.309999999999999</v>
      </c>
      <c r="J87" s="432">
        <f t="shared" ref="J87:J91" si="5">ROUND(H87*I87,2)</f>
        <v>9.16</v>
      </c>
    </row>
    <row r="88" spans="1:10" ht="15.75" x14ac:dyDescent="0.25">
      <c r="A88" s="627">
        <v>2</v>
      </c>
      <c r="B88" s="622">
        <v>88316</v>
      </c>
      <c r="C88" s="623" t="s">
        <v>10</v>
      </c>
      <c r="D88" s="937" t="s">
        <v>676</v>
      </c>
      <c r="E88" s="938"/>
      <c r="F88" s="939"/>
      <c r="G88" s="623" t="s">
        <v>12</v>
      </c>
      <c r="H88" s="629">
        <v>0.5</v>
      </c>
      <c r="I88" s="630">
        <v>14.84</v>
      </c>
      <c r="J88" s="432">
        <f t="shared" si="5"/>
        <v>7.42</v>
      </c>
    </row>
    <row r="89" spans="1:10" ht="40.15" customHeight="1" x14ac:dyDescent="0.25">
      <c r="A89" s="627">
        <v>3</v>
      </c>
      <c r="B89" s="628">
        <v>6240</v>
      </c>
      <c r="C89" s="628" t="s">
        <v>10</v>
      </c>
      <c r="D89" s="940" t="s">
        <v>744</v>
      </c>
      <c r="E89" s="941"/>
      <c r="F89" s="942"/>
      <c r="G89" s="628" t="s">
        <v>57</v>
      </c>
      <c r="H89" s="629">
        <v>1</v>
      </c>
      <c r="I89" s="630">
        <v>778.53</v>
      </c>
      <c r="J89" s="432">
        <f t="shared" si="5"/>
        <v>778.53</v>
      </c>
    </row>
    <row r="90" spans="1:10" ht="47.45" customHeight="1" x14ac:dyDescent="0.25">
      <c r="A90" s="627">
        <v>4</v>
      </c>
      <c r="B90" s="628">
        <v>155</v>
      </c>
      <c r="C90" s="628" t="s">
        <v>59</v>
      </c>
      <c r="D90" s="940" t="s">
        <v>745</v>
      </c>
      <c r="E90" s="941"/>
      <c r="F90" s="942"/>
      <c r="G90" s="628" t="s">
        <v>30</v>
      </c>
      <c r="H90" s="629">
        <v>0.189</v>
      </c>
      <c r="I90" s="630">
        <v>78.45</v>
      </c>
      <c r="J90" s="432">
        <f t="shared" si="5"/>
        <v>14.83</v>
      </c>
    </row>
    <row r="91" spans="1:10" ht="43.15" customHeight="1" x14ac:dyDescent="0.25">
      <c r="A91" s="627">
        <v>5</v>
      </c>
      <c r="B91" s="628">
        <v>1903</v>
      </c>
      <c r="C91" s="628" t="s">
        <v>59</v>
      </c>
      <c r="D91" s="940" t="s">
        <v>746</v>
      </c>
      <c r="E91" s="941"/>
      <c r="F91" s="942"/>
      <c r="G91" s="628" t="s">
        <v>34</v>
      </c>
      <c r="H91" s="629">
        <v>1E-3</v>
      </c>
      <c r="I91" s="630">
        <v>471.93</v>
      </c>
      <c r="J91" s="432">
        <f t="shared" si="5"/>
        <v>0.47</v>
      </c>
    </row>
    <row r="92" spans="1:10" ht="16.5" thickBot="1" x14ac:dyDescent="0.3">
      <c r="A92" s="952" t="s">
        <v>689</v>
      </c>
      <c r="B92" s="953"/>
      <c r="C92" s="953"/>
      <c r="D92" s="953"/>
      <c r="E92" s="953"/>
      <c r="F92" s="953"/>
      <c r="G92" s="953"/>
      <c r="H92" s="953"/>
      <c r="I92" s="954"/>
      <c r="J92" s="433">
        <f>SUM(J87:J91)</f>
        <v>810.41</v>
      </c>
    </row>
  </sheetData>
  <mergeCells count="96">
    <mergeCell ref="D91:F91"/>
    <mergeCell ref="D76:F76"/>
    <mergeCell ref="D77:F77"/>
    <mergeCell ref="D78:F78"/>
    <mergeCell ref="A92:I92"/>
    <mergeCell ref="A85:B85"/>
    <mergeCell ref="C85:J85"/>
    <mergeCell ref="D86:F86"/>
    <mergeCell ref="D79:F79"/>
    <mergeCell ref="D80:F80"/>
    <mergeCell ref="D81:F81"/>
    <mergeCell ref="A82:I82"/>
    <mergeCell ref="A84:J84"/>
    <mergeCell ref="D87:F87"/>
    <mergeCell ref="D88:F88"/>
    <mergeCell ref="D89:F89"/>
    <mergeCell ref="D42:F42"/>
    <mergeCell ref="D43:F43"/>
    <mergeCell ref="D44:F44"/>
    <mergeCell ref="D45:F45"/>
    <mergeCell ref="D46:F46"/>
    <mergeCell ref="D90:F90"/>
    <mergeCell ref="D57:F57"/>
    <mergeCell ref="D58:F58"/>
    <mergeCell ref="D59:F59"/>
    <mergeCell ref="D74:F74"/>
    <mergeCell ref="D75:F75"/>
    <mergeCell ref="A60:I60"/>
    <mergeCell ref="C71:J71"/>
    <mergeCell ref="A71:B71"/>
    <mergeCell ref="A70:J70"/>
    <mergeCell ref="D72:F72"/>
    <mergeCell ref="D73:F73"/>
    <mergeCell ref="D52:F52"/>
    <mergeCell ref="D53:F53"/>
    <mergeCell ref="D54:F54"/>
    <mergeCell ref="D55:F55"/>
    <mergeCell ref="D56:F56"/>
    <mergeCell ref="D47:F47"/>
    <mergeCell ref="D48:F48"/>
    <mergeCell ref="D49:F49"/>
    <mergeCell ref="D50:F50"/>
    <mergeCell ref="D51:F51"/>
    <mergeCell ref="D31:F31"/>
    <mergeCell ref="D32:F32"/>
    <mergeCell ref="D33:F33"/>
    <mergeCell ref="D34:F34"/>
    <mergeCell ref="D35:F35"/>
    <mergeCell ref="D41:F41"/>
    <mergeCell ref="D36:F36"/>
    <mergeCell ref="A37:I37"/>
    <mergeCell ref="A39:J39"/>
    <mergeCell ref="A40:B40"/>
    <mergeCell ref="C40:J40"/>
    <mergeCell ref="A29:B29"/>
    <mergeCell ref="C29:J29"/>
    <mergeCell ref="D19:F19"/>
    <mergeCell ref="D20:F20"/>
    <mergeCell ref="D22:F22"/>
    <mergeCell ref="D23:F23"/>
    <mergeCell ref="A26:I26"/>
    <mergeCell ref="E6:F6"/>
    <mergeCell ref="G6:J6"/>
    <mergeCell ref="E5:F5"/>
    <mergeCell ref="G5:J5"/>
    <mergeCell ref="E1:J1"/>
    <mergeCell ref="E2:F3"/>
    <mergeCell ref="G2:J3"/>
    <mergeCell ref="E4:F4"/>
    <mergeCell ref="G4:J4"/>
    <mergeCell ref="E7:F7"/>
    <mergeCell ref="G7:J7"/>
    <mergeCell ref="B8:J8"/>
    <mergeCell ref="A10:J10"/>
    <mergeCell ref="A15:I15"/>
    <mergeCell ref="D13:F13"/>
    <mergeCell ref="D14:F14"/>
    <mergeCell ref="A11:B11"/>
    <mergeCell ref="C11:J11"/>
    <mergeCell ref="D12:F12"/>
    <mergeCell ref="A17:J17"/>
    <mergeCell ref="A18:B18"/>
    <mergeCell ref="D67:F67"/>
    <mergeCell ref="A68:I68"/>
    <mergeCell ref="A63:B63"/>
    <mergeCell ref="C63:J63"/>
    <mergeCell ref="D64:F64"/>
    <mergeCell ref="D65:F65"/>
    <mergeCell ref="D66:F66"/>
    <mergeCell ref="A62:J62"/>
    <mergeCell ref="C18:J18"/>
    <mergeCell ref="D30:F30"/>
    <mergeCell ref="D24:F24"/>
    <mergeCell ref="D25:F25"/>
    <mergeCell ref="D21:F21"/>
    <mergeCell ref="A28:J28"/>
  </mergeCells>
  <pageMargins left="0.511811024" right="0.511811024" top="0.78740157499999996" bottom="0.78740157499999996" header="0.31496062000000002" footer="0.31496062000000002"/>
  <pageSetup paperSize="9" scale="68" fitToHeight="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/>
  </sheetPr>
  <dimension ref="A1:O621"/>
  <sheetViews>
    <sheetView view="pageBreakPreview" zoomScaleNormal="145" zoomScaleSheetLayoutView="100" workbookViewId="0">
      <selection activeCell="B9" sqref="B9:L9"/>
    </sheetView>
  </sheetViews>
  <sheetFormatPr defaultRowHeight="15" x14ac:dyDescent="0.25"/>
  <cols>
    <col min="3" max="3" width="12.7109375" customWidth="1"/>
  </cols>
  <sheetData>
    <row r="1" spans="1:12" ht="15.6" customHeight="1" x14ac:dyDescent="0.25">
      <c r="A1" s="204"/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6"/>
    </row>
    <row r="2" spans="1:12" ht="15.6" customHeight="1" x14ac:dyDescent="0.25">
      <c r="A2" s="207"/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9"/>
    </row>
    <row r="3" spans="1:12" ht="20.45" customHeight="1" x14ac:dyDescent="0.25">
      <c r="A3" s="207"/>
      <c r="B3" s="208"/>
      <c r="C3" s="208"/>
      <c r="D3" s="863" t="s">
        <v>0</v>
      </c>
      <c r="E3" s="863"/>
      <c r="F3" s="863"/>
      <c r="G3" s="863"/>
      <c r="H3" s="863"/>
      <c r="I3" s="863"/>
      <c r="J3" s="863"/>
      <c r="K3" s="863"/>
      <c r="L3" s="864"/>
    </row>
    <row r="4" spans="1:12" ht="12.6" customHeight="1" x14ac:dyDescent="0.25">
      <c r="A4" s="207"/>
      <c r="B4" s="208"/>
      <c r="C4" s="208"/>
      <c r="D4" s="865" t="s">
        <v>1</v>
      </c>
      <c r="E4" s="865"/>
      <c r="F4" s="865"/>
      <c r="G4" s="865"/>
      <c r="H4" s="865"/>
      <c r="I4" s="865"/>
      <c r="J4" s="865"/>
      <c r="K4" s="865"/>
      <c r="L4" s="866"/>
    </row>
    <row r="5" spans="1:12" ht="15.6" customHeight="1" x14ac:dyDescent="0.25">
      <c r="A5" s="207"/>
      <c r="B5" s="208"/>
      <c r="C5" s="208"/>
      <c r="D5" s="208"/>
      <c r="E5" s="208"/>
      <c r="F5" s="208"/>
      <c r="G5" s="208"/>
      <c r="H5" s="208"/>
      <c r="I5" s="208"/>
      <c r="J5" s="208"/>
      <c r="K5" s="208"/>
      <c r="L5" s="209"/>
    </row>
    <row r="6" spans="1:12" ht="15.6" customHeight="1" x14ac:dyDescent="0.25">
      <c r="A6" s="210"/>
      <c r="B6" s="211"/>
      <c r="C6" s="211"/>
      <c r="D6" s="211"/>
      <c r="E6" s="211"/>
      <c r="F6" s="211"/>
      <c r="G6" s="211"/>
      <c r="H6" s="211"/>
      <c r="I6" s="211"/>
      <c r="J6" s="211"/>
      <c r="K6" s="211"/>
      <c r="L6" s="212"/>
    </row>
    <row r="7" spans="1:12" ht="15.75" thickBot="1" x14ac:dyDescent="0.3">
      <c r="A7" s="213"/>
      <c r="B7" s="213"/>
      <c r="C7" s="213"/>
      <c r="D7" s="213"/>
      <c r="E7" s="213"/>
      <c r="F7" s="213"/>
      <c r="G7" s="213"/>
      <c r="H7" s="213"/>
      <c r="I7" s="213"/>
      <c r="J7" s="213"/>
      <c r="K7" s="213"/>
      <c r="L7" s="213"/>
    </row>
    <row r="8" spans="1:12" x14ac:dyDescent="0.25">
      <c r="A8" s="958" t="s">
        <v>207</v>
      </c>
      <c r="B8" s="959"/>
      <c r="C8" s="959"/>
      <c r="D8" s="959"/>
      <c r="E8" s="959"/>
      <c r="F8" s="959"/>
      <c r="G8" s="959"/>
      <c r="H8" s="959"/>
      <c r="I8" s="959"/>
      <c r="J8" s="959"/>
      <c r="K8" s="959"/>
      <c r="L8" s="960"/>
    </row>
    <row r="9" spans="1:12" ht="24.75" customHeight="1" x14ac:dyDescent="0.25">
      <c r="A9" s="214" t="s">
        <v>2</v>
      </c>
      <c r="B9" s="968" t="s">
        <v>699</v>
      </c>
      <c r="C9" s="968"/>
      <c r="D9" s="968"/>
      <c r="E9" s="968"/>
      <c r="F9" s="968"/>
      <c r="G9" s="968"/>
      <c r="H9" s="968"/>
      <c r="I9" s="968"/>
      <c r="J9" s="968"/>
      <c r="K9" s="968"/>
      <c r="L9" s="969"/>
    </row>
    <row r="10" spans="1:12" ht="14.45" customHeight="1" x14ac:dyDescent="0.25">
      <c r="A10" s="215" t="s">
        <v>470</v>
      </c>
      <c r="B10" s="970" t="s">
        <v>467</v>
      </c>
      <c r="C10" s="971"/>
      <c r="D10" s="971"/>
      <c r="E10" s="971"/>
      <c r="F10" s="971"/>
      <c r="G10" s="971"/>
      <c r="H10" s="971"/>
      <c r="I10" s="971"/>
      <c r="J10" s="971"/>
      <c r="K10" s="971"/>
      <c r="L10" s="972"/>
    </row>
    <row r="11" spans="1:12" x14ac:dyDescent="0.25">
      <c r="A11" s="963"/>
      <c r="B11" s="964"/>
      <c r="C11" s="964"/>
      <c r="D11" s="964"/>
      <c r="E11" s="964"/>
      <c r="F11" s="964"/>
      <c r="G11" s="964"/>
      <c r="H11" s="964"/>
      <c r="I11" s="964"/>
      <c r="J11" s="964"/>
      <c r="K11" s="964"/>
      <c r="L11" s="965"/>
    </row>
    <row r="12" spans="1:12" ht="25.5" x14ac:dyDescent="0.25">
      <c r="A12" s="111" t="s">
        <v>200</v>
      </c>
      <c r="B12" s="966" t="s">
        <v>208</v>
      </c>
      <c r="C12" s="967"/>
      <c r="D12" s="112" t="s">
        <v>209</v>
      </c>
      <c r="E12" s="112" t="s">
        <v>210</v>
      </c>
      <c r="F12" s="113" t="s">
        <v>211</v>
      </c>
      <c r="G12" s="113" t="s">
        <v>182</v>
      </c>
      <c r="H12" s="112" t="s">
        <v>212</v>
      </c>
      <c r="I12" s="114" t="s">
        <v>213</v>
      </c>
      <c r="J12" s="114" t="s">
        <v>214</v>
      </c>
      <c r="K12" s="114" t="s">
        <v>215</v>
      </c>
      <c r="L12" s="115" t="s">
        <v>216</v>
      </c>
    </row>
    <row r="13" spans="1:12" x14ac:dyDescent="0.25">
      <c r="A13" s="116" t="s">
        <v>5</v>
      </c>
      <c r="B13" s="973" t="s">
        <v>235</v>
      </c>
      <c r="C13" s="974"/>
      <c r="D13" s="117"/>
      <c r="E13" s="118"/>
      <c r="F13" s="119"/>
      <c r="G13" s="118"/>
      <c r="H13" s="118"/>
      <c r="I13" s="120">
        <f>I18</f>
        <v>37.25</v>
      </c>
      <c r="J13" s="120">
        <f>J18</f>
        <v>0</v>
      </c>
      <c r="K13" s="121">
        <f>I13</f>
        <v>37.25</v>
      </c>
      <c r="L13" s="122"/>
    </row>
    <row r="14" spans="1:12" x14ac:dyDescent="0.25">
      <c r="A14" s="123"/>
      <c r="B14" s="124" t="s">
        <v>217</v>
      </c>
      <c r="C14" s="125"/>
      <c r="D14" s="126">
        <v>242.57599999999999</v>
      </c>
      <c r="E14" s="126">
        <v>242.476</v>
      </c>
      <c r="F14" s="127">
        <f>E14-D14</f>
        <v>-0.1</v>
      </c>
      <c r="G14" s="128">
        <v>7</v>
      </c>
      <c r="H14" s="128">
        <v>0</v>
      </c>
      <c r="I14" s="128">
        <f t="shared" ref="I14:I17" si="0">IF(F14&gt;0,0,(F14*G14*H14)*-1)</f>
        <v>0</v>
      </c>
      <c r="J14" s="128">
        <f t="shared" ref="J14:J17" si="1">IF(F14&gt;0,F14*G14*H14,0)</f>
        <v>0</v>
      </c>
      <c r="K14" s="128"/>
      <c r="L14" s="129"/>
    </row>
    <row r="15" spans="1:12" x14ac:dyDescent="0.25">
      <c r="A15" s="130"/>
      <c r="B15" s="124" t="s">
        <v>218</v>
      </c>
      <c r="C15" s="125"/>
      <c r="D15" s="126">
        <v>242.50299999999999</v>
      </c>
      <c r="E15" s="126">
        <v>242.40299999999999</v>
      </c>
      <c r="F15" s="127">
        <f t="shared" ref="F15:F17" si="2">E15-D15</f>
        <v>-0.1</v>
      </c>
      <c r="G15" s="128">
        <v>7</v>
      </c>
      <c r="H15" s="128">
        <v>20</v>
      </c>
      <c r="I15" s="128">
        <f t="shared" si="0"/>
        <v>14</v>
      </c>
      <c r="J15" s="128">
        <f t="shared" si="1"/>
        <v>0</v>
      </c>
      <c r="K15" s="128"/>
      <c r="L15" s="129"/>
    </row>
    <row r="16" spans="1:12" x14ac:dyDescent="0.25">
      <c r="A16" s="130"/>
      <c r="B16" s="124" t="s">
        <v>219</v>
      </c>
      <c r="C16" s="125"/>
      <c r="D16" s="126">
        <v>242.495</v>
      </c>
      <c r="E16" s="126">
        <v>242.39500000000001</v>
      </c>
      <c r="F16" s="127">
        <f t="shared" si="2"/>
        <v>-0.1</v>
      </c>
      <c r="G16" s="128">
        <v>7</v>
      </c>
      <c r="H16" s="128">
        <v>20</v>
      </c>
      <c r="I16" s="128">
        <f t="shared" si="0"/>
        <v>14</v>
      </c>
      <c r="J16" s="128">
        <f t="shared" si="1"/>
        <v>0</v>
      </c>
      <c r="K16" s="128"/>
      <c r="L16" s="129"/>
    </row>
    <row r="17" spans="1:12" x14ac:dyDescent="0.25">
      <c r="A17" s="130"/>
      <c r="B17" s="124" t="s">
        <v>475</v>
      </c>
      <c r="C17" s="125"/>
      <c r="D17" s="126">
        <v>242.55199999999999</v>
      </c>
      <c r="E17" s="126">
        <v>242.452</v>
      </c>
      <c r="F17" s="127">
        <f t="shared" si="2"/>
        <v>-0.1</v>
      </c>
      <c r="G17" s="128">
        <v>7</v>
      </c>
      <c r="H17" s="128">
        <v>13.22</v>
      </c>
      <c r="I17" s="128">
        <f t="shared" si="0"/>
        <v>9.25</v>
      </c>
      <c r="J17" s="128">
        <f t="shared" si="1"/>
        <v>0</v>
      </c>
      <c r="K17" s="128"/>
      <c r="L17" s="129"/>
    </row>
    <row r="18" spans="1:12" x14ac:dyDescent="0.25">
      <c r="A18" s="131"/>
      <c r="B18" s="132"/>
      <c r="C18" s="133"/>
      <c r="D18" s="134"/>
      <c r="E18" s="135"/>
      <c r="F18" s="136"/>
      <c r="G18" s="135"/>
      <c r="H18" s="138">
        <f>SUM(H14:H17)</f>
        <v>53.22</v>
      </c>
      <c r="I18" s="138">
        <f>SUM(I14:I17)</f>
        <v>37.25</v>
      </c>
      <c r="J18" s="138">
        <f>SUM(J14:J17)</f>
        <v>0</v>
      </c>
      <c r="K18" s="139"/>
      <c r="L18" s="140"/>
    </row>
    <row r="19" spans="1:12" x14ac:dyDescent="0.25">
      <c r="A19" s="141" t="s">
        <v>26</v>
      </c>
      <c r="B19" s="961" t="s">
        <v>158</v>
      </c>
      <c r="C19" s="962"/>
      <c r="D19" s="142"/>
      <c r="E19" s="143"/>
      <c r="F19" s="144"/>
      <c r="G19" s="145"/>
      <c r="H19" s="143"/>
      <c r="I19" s="146">
        <f>I25</f>
        <v>47.24</v>
      </c>
      <c r="J19" s="147">
        <f>J25</f>
        <v>0</v>
      </c>
      <c r="K19" s="148">
        <f>I19</f>
        <v>47.24</v>
      </c>
      <c r="L19" s="149"/>
    </row>
    <row r="20" spans="1:12" x14ac:dyDescent="0.25">
      <c r="A20" s="150"/>
      <c r="B20" s="151" t="s">
        <v>217</v>
      </c>
      <c r="C20" s="152"/>
      <c r="D20" s="153">
        <v>242.87700000000001</v>
      </c>
      <c r="E20" s="154">
        <v>242.77699999999999</v>
      </c>
      <c r="F20" s="127">
        <f>E20-D20</f>
        <v>-0.1</v>
      </c>
      <c r="G20" s="155">
        <v>7</v>
      </c>
      <c r="H20" s="156">
        <v>0</v>
      </c>
      <c r="I20" s="128">
        <f>IF(F20&gt;0,0,(F20*G20*H20)*-1)</f>
        <v>0</v>
      </c>
      <c r="J20" s="157">
        <f>IF(F20&gt;0,F20*G20*H20,0)</f>
        <v>0</v>
      </c>
      <c r="K20" s="158"/>
      <c r="L20" s="159"/>
    </row>
    <row r="21" spans="1:12" x14ac:dyDescent="0.25">
      <c r="A21" s="123"/>
      <c r="B21" s="160" t="s">
        <v>218</v>
      </c>
      <c r="C21" s="161"/>
      <c r="D21" s="162">
        <v>242.846</v>
      </c>
      <c r="E21" s="163">
        <v>242.74600000000001</v>
      </c>
      <c r="F21" s="127">
        <f t="shared" ref="F21:F24" si="3">E21-D21</f>
        <v>-0.1</v>
      </c>
      <c r="G21" s="155">
        <v>7</v>
      </c>
      <c r="H21" s="164">
        <v>20</v>
      </c>
      <c r="I21" s="128">
        <f>IF(F21&gt;0,0,(F21*G21*H21)*-1)</f>
        <v>14</v>
      </c>
      <c r="J21" s="128">
        <f>IF(F21&gt;0,F21*G21*H21,0)</f>
        <v>0</v>
      </c>
      <c r="K21" s="158"/>
      <c r="L21" s="165"/>
    </row>
    <row r="22" spans="1:12" x14ac:dyDescent="0.25">
      <c r="A22" s="123"/>
      <c r="B22" s="160" t="s">
        <v>219</v>
      </c>
      <c r="C22" s="161"/>
      <c r="D22" s="162">
        <v>242.905</v>
      </c>
      <c r="E22" s="163">
        <v>242.80500000000001</v>
      </c>
      <c r="F22" s="127">
        <f t="shared" si="3"/>
        <v>-0.1</v>
      </c>
      <c r="G22" s="155">
        <v>7</v>
      </c>
      <c r="H22" s="164">
        <v>20</v>
      </c>
      <c r="I22" s="128">
        <f>IF(F22&gt;0,0,(F22*G22*H22)*-1)</f>
        <v>14</v>
      </c>
      <c r="J22" s="128">
        <f>IF(F22&gt;0,F22*G22*H22,0)</f>
        <v>0</v>
      </c>
      <c r="K22" s="158"/>
      <c r="L22" s="165"/>
    </row>
    <row r="23" spans="1:12" x14ac:dyDescent="0.25">
      <c r="A23" s="130"/>
      <c r="B23" s="160" t="s">
        <v>220</v>
      </c>
      <c r="C23" s="161"/>
      <c r="D23" s="162">
        <v>242.95</v>
      </c>
      <c r="E23" s="163">
        <v>242.85</v>
      </c>
      <c r="F23" s="127">
        <f t="shared" si="3"/>
        <v>-0.1</v>
      </c>
      <c r="G23" s="155">
        <v>7</v>
      </c>
      <c r="H23" s="164">
        <v>20</v>
      </c>
      <c r="I23" s="128">
        <f t="shared" ref="I23:I24" si="4">IF(F23&gt;0,0,(F23*G23*H23)*-1)</f>
        <v>14</v>
      </c>
      <c r="J23" s="128">
        <f t="shared" ref="J23:J24" si="5">IF(F23&gt;0,F23*G23*H23,0)</f>
        <v>0</v>
      </c>
      <c r="K23" s="166"/>
      <c r="L23" s="129"/>
    </row>
    <row r="24" spans="1:12" x14ac:dyDescent="0.25">
      <c r="A24" s="130"/>
      <c r="B24" s="160" t="s">
        <v>476</v>
      </c>
      <c r="C24" s="161"/>
      <c r="D24" s="162">
        <v>243.08600000000001</v>
      </c>
      <c r="E24" s="163">
        <v>242.98599999999999</v>
      </c>
      <c r="F24" s="127">
        <f t="shared" si="3"/>
        <v>-0.1</v>
      </c>
      <c r="G24" s="155">
        <v>7</v>
      </c>
      <c r="H24" s="164">
        <v>7.48</v>
      </c>
      <c r="I24" s="128">
        <f t="shared" si="4"/>
        <v>5.24</v>
      </c>
      <c r="J24" s="128">
        <f t="shared" si="5"/>
        <v>0</v>
      </c>
      <c r="K24" s="166"/>
      <c r="L24" s="129"/>
    </row>
    <row r="25" spans="1:12" x14ac:dyDescent="0.25">
      <c r="A25" s="167"/>
      <c r="B25" s="168"/>
      <c r="C25" s="168"/>
      <c r="D25" s="169"/>
      <c r="E25" s="170"/>
      <c r="F25" s="171"/>
      <c r="G25" s="170"/>
      <c r="H25" s="173">
        <f>SUM(H20:H24)</f>
        <v>67.48</v>
      </c>
      <c r="I25" s="173">
        <f>SUM(I20:I24)</f>
        <v>47.24</v>
      </c>
      <c r="J25" s="174">
        <f>SUM(J20:J22)</f>
        <v>0</v>
      </c>
      <c r="K25" s="166"/>
      <c r="L25" s="129"/>
    </row>
    <row r="26" spans="1:12" ht="22.15" customHeight="1" x14ac:dyDescent="0.25">
      <c r="A26" s="175" t="s">
        <v>31</v>
      </c>
      <c r="B26" s="961" t="s">
        <v>328</v>
      </c>
      <c r="C26" s="962"/>
      <c r="D26" s="176"/>
      <c r="E26" s="177"/>
      <c r="F26" s="178"/>
      <c r="G26" s="177"/>
      <c r="H26" s="177"/>
      <c r="I26" s="179">
        <f>I33</f>
        <v>34.94</v>
      </c>
      <c r="J26" s="180">
        <f>J33</f>
        <v>0</v>
      </c>
      <c r="K26" s="148">
        <f>I26</f>
        <v>34.94</v>
      </c>
      <c r="L26" s="149"/>
    </row>
    <row r="27" spans="1:12" x14ac:dyDescent="0.25">
      <c r="A27" s="181"/>
      <c r="B27" s="124" t="s">
        <v>217</v>
      </c>
      <c r="C27" s="125"/>
      <c r="D27" s="126">
        <v>241.14099999999999</v>
      </c>
      <c r="E27" s="126">
        <v>240.041</v>
      </c>
      <c r="F27" s="127">
        <f t="shared" ref="F27:F32" si="6">E27-D27</f>
        <v>-1.1000000000000001</v>
      </c>
      <c r="G27" s="128">
        <v>4</v>
      </c>
      <c r="H27" s="128">
        <v>0</v>
      </c>
      <c r="I27" s="128">
        <f t="shared" ref="I27:I32" si="7">IF(F27&gt;0,0,(F27*G27*H27)*-1)</f>
        <v>0</v>
      </c>
      <c r="J27" s="128">
        <f t="shared" ref="J27:J32" si="8">IF(F27&gt;0,F27*G27*H27,0)</f>
        <v>0</v>
      </c>
      <c r="K27" s="182"/>
      <c r="L27" s="183"/>
    </row>
    <row r="28" spans="1:12" x14ac:dyDescent="0.25">
      <c r="A28" s="181"/>
      <c r="B28" s="124" t="s">
        <v>218</v>
      </c>
      <c r="C28" s="125"/>
      <c r="D28" s="126">
        <v>241.05199999999999</v>
      </c>
      <c r="E28" s="126">
        <v>240.952</v>
      </c>
      <c r="F28" s="127">
        <f t="shared" si="6"/>
        <v>-0.1</v>
      </c>
      <c r="G28" s="128">
        <v>4</v>
      </c>
      <c r="H28" s="128">
        <v>20</v>
      </c>
      <c r="I28" s="128">
        <f t="shared" si="7"/>
        <v>8</v>
      </c>
      <c r="J28" s="128">
        <f t="shared" si="8"/>
        <v>0</v>
      </c>
      <c r="K28" s="182"/>
      <c r="L28" s="183"/>
    </row>
    <row r="29" spans="1:12" x14ac:dyDescent="0.25">
      <c r="A29" s="181"/>
      <c r="B29" s="124" t="s">
        <v>219</v>
      </c>
      <c r="C29" s="125"/>
      <c r="D29" s="126">
        <v>241.179</v>
      </c>
      <c r="E29" s="126">
        <v>241.07900000000001</v>
      </c>
      <c r="F29" s="127">
        <f t="shared" si="6"/>
        <v>-0.1</v>
      </c>
      <c r="G29" s="128">
        <v>4</v>
      </c>
      <c r="H29" s="128">
        <v>20</v>
      </c>
      <c r="I29" s="128">
        <f t="shared" si="7"/>
        <v>8</v>
      </c>
      <c r="J29" s="128">
        <f t="shared" si="8"/>
        <v>0</v>
      </c>
      <c r="K29" s="182"/>
      <c r="L29" s="183"/>
    </row>
    <row r="30" spans="1:12" x14ac:dyDescent="0.25">
      <c r="A30" s="181"/>
      <c r="B30" s="124" t="s">
        <v>220</v>
      </c>
      <c r="C30" s="125"/>
      <c r="D30" s="126">
        <v>241.09100000000001</v>
      </c>
      <c r="E30" s="126">
        <v>240.99100000000001</v>
      </c>
      <c r="F30" s="127">
        <f t="shared" si="6"/>
        <v>-0.1</v>
      </c>
      <c r="G30" s="128">
        <v>4</v>
      </c>
      <c r="H30" s="128">
        <v>20</v>
      </c>
      <c r="I30" s="128">
        <f t="shared" si="7"/>
        <v>8</v>
      </c>
      <c r="J30" s="128">
        <f t="shared" si="8"/>
        <v>0</v>
      </c>
      <c r="K30" s="182"/>
      <c r="L30" s="183"/>
    </row>
    <row r="31" spans="1:12" x14ac:dyDescent="0.25">
      <c r="A31" s="181"/>
      <c r="B31" s="124" t="s">
        <v>221</v>
      </c>
      <c r="C31" s="125"/>
      <c r="D31" s="126">
        <v>241.49</v>
      </c>
      <c r="E31" s="126">
        <v>241.39</v>
      </c>
      <c r="F31" s="127">
        <f t="shared" si="6"/>
        <v>-0.1</v>
      </c>
      <c r="G31" s="128">
        <v>4</v>
      </c>
      <c r="H31" s="128">
        <v>20</v>
      </c>
      <c r="I31" s="128">
        <f t="shared" si="7"/>
        <v>8</v>
      </c>
      <c r="J31" s="128">
        <f t="shared" si="8"/>
        <v>0</v>
      </c>
      <c r="K31" s="182"/>
      <c r="L31" s="183"/>
    </row>
    <row r="32" spans="1:12" x14ac:dyDescent="0.25">
      <c r="A32" s="181"/>
      <c r="B32" s="124" t="s">
        <v>477</v>
      </c>
      <c r="C32" s="125"/>
      <c r="D32" s="126">
        <v>241.64699999999999</v>
      </c>
      <c r="E32" s="126">
        <v>241.547</v>
      </c>
      <c r="F32" s="127">
        <f t="shared" si="6"/>
        <v>-0.1</v>
      </c>
      <c r="G32" s="128">
        <v>4</v>
      </c>
      <c r="H32" s="128">
        <v>7.34</v>
      </c>
      <c r="I32" s="128">
        <f t="shared" si="7"/>
        <v>2.94</v>
      </c>
      <c r="J32" s="128">
        <f t="shared" si="8"/>
        <v>0</v>
      </c>
      <c r="K32" s="182"/>
      <c r="L32" s="183"/>
    </row>
    <row r="33" spans="1:12" x14ac:dyDescent="0.25">
      <c r="A33" s="181"/>
      <c r="B33" s="184"/>
      <c r="C33" s="185"/>
      <c r="D33" s="186"/>
      <c r="E33" s="182"/>
      <c r="F33" s="187"/>
      <c r="G33" s="182"/>
      <c r="H33" s="188">
        <f>SUM(H27:H32)</f>
        <v>87.34</v>
      </c>
      <c r="I33" s="188">
        <f>SUM(I27:I32)</f>
        <v>34.94</v>
      </c>
      <c r="J33" s="188">
        <f>SUM(J27:J32)</f>
        <v>0</v>
      </c>
      <c r="K33" s="189"/>
      <c r="L33" s="190"/>
    </row>
    <row r="34" spans="1:12" x14ac:dyDescent="0.25">
      <c r="A34" s="175" t="s">
        <v>60</v>
      </c>
      <c r="B34" s="961" t="s">
        <v>448</v>
      </c>
      <c r="C34" s="962"/>
      <c r="D34" s="176"/>
      <c r="E34" s="177"/>
      <c r="F34" s="178"/>
      <c r="G34" s="177"/>
      <c r="H34" s="177"/>
      <c r="I34" s="179">
        <f>I43</f>
        <v>88.87</v>
      </c>
      <c r="J34" s="180">
        <f>J43</f>
        <v>0</v>
      </c>
      <c r="K34" s="148">
        <f>I34</f>
        <v>88.87</v>
      </c>
      <c r="L34" s="149"/>
    </row>
    <row r="35" spans="1:12" ht="20.45" customHeight="1" x14ac:dyDescent="0.25">
      <c r="A35" s="123"/>
      <c r="B35" s="124" t="s">
        <v>217</v>
      </c>
      <c r="C35" s="125"/>
      <c r="D35" s="126">
        <v>239.965</v>
      </c>
      <c r="E35" s="126">
        <v>239.86500000000001</v>
      </c>
      <c r="F35" s="127">
        <f t="shared" ref="F35:F42" si="9">E35-D35</f>
        <v>-0.1</v>
      </c>
      <c r="G35" s="128">
        <v>7</v>
      </c>
      <c r="H35" s="128">
        <v>0</v>
      </c>
      <c r="I35" s="128">
        <f t="shared" ref="I35:I42" si="10">IF(F35&gt;0,0,(F35*G35*H35)*-1)</f>
        <v>0</v>
      </c>
      <c r="J35" s="128">
        <f t="shared" ref="J35:J42" si="11">IF(F35&gt;0,F35*G35*H35,0)</f>
        <v>0</v>
      </c>
      <c r="K35" s="128"/>
      <c r="L35" s="129"/>
    </row>
    <row r="36" spans="1:12" x14ac:dyDescent="0.25">
      <c r="A36" s="130"/>
      <c r="B36" s="124" t="s">
        <v>218</v>
      </c>
      <c r="C36" s="125"/>
      <c r="D36" s="126">
        <v>239.81200000000001</v>
      </c>
      <c r="E36" s="126">
        <v>239.71199999999999</v>
      </c>
      <c r="F36" s="127">
        <f t="shared" si="9"/>
        <v>-0.1</v>
      </c>
      <c r="G36" s="128">
        <v>7</v>
      </c>
      <c r="H36" s="128">
        <v>20</v>
      </c>
      <c r="I36" s="128">
        <f t="shared" si="10"/>
        <v>14</v>
      </c>
      <c r="J36" s="128">
        <f t="shared" si="11"/>
        <v>0</v>
      </c>
      <c r="K36" s="128"/>
      <c r="L36" s="129"/>
    </row>
    <row r="37" spans="1:12" x14ac:dyDescent="0.25">
      <c r="A37" s="130"/>
      <c r="B37" s="124" t="s">
        <v>219</v>
      </c>
      <c r="C37" s="125"/>
      <c r="D37" s="126">
        <v>239.602</v>
      </c>
      <c r="E37" s="126">
        <v>239.50200000000001</v>
      </c>
      <c r="F37" s="127">
        <f t="shared" si="9"/>
        <v>-0.1</v>
      </c>
      <c r="G37" s="128">
        <v>7</v>
      </c>
      <c r="H37" s="128">
        <v>20</v>
      </c>
      <c r="I37" s="128">
        <f t="shared" si="10"/>
        <v>14</v>
      </c>
      <c r="J37" s="128">
        <f t="shared" si="11"/>
        <v>0</v>
      </c>
      <c r="K37" s="128"/>
      <c r="L37" s="129"/>
    </row>
    <row r="38" spans="1:12" x14ac:dyDescent="0.25">
      <c r="A38" s="130"/>
      <c r="B38" s="124" t="s">
        <v>220</v>
      </c>
      <c r="C38" s="125"/>
      <c r="D38" s="126">
        <v>239.697</v>
      </c>
      <c r="E38" s="126">
        <v>239.59700000000001</v>
      </c>
      <c r="F38" s="127">
        <f t="shared" ref="F38:F39" si="12">E38-D38</f>
        <v>-0.1</v>
      </c>
      <c r="G38" s="128">
        <v>7</v>
      </c>
      <c r="H38" s="128">
        <v>20</v>
      </c>
      <c r="I38" s="128">
        <f t="shared" ref="I38" si="13">IF(F38&gt;0,0,(F38*G38*H38)*-1)</f>
        <v>14</v>
      </c>
      <c r="J38" s="128">
        <f t="shared" ref="J38" si="14">IF(F38&gt;0,F38*G38*H38,0)</f>
        <v>0</v>
      </c>
      <c r="K38" s="128"/>
      <c r="L38" s="129"/>
    </row>
    <row r="39" spans="1:12" x14ac:dyDescent="0.25">
      <c r="A39" s="130"/>
      <c r="B39" s="124" t="s">
        <v>221</v>
      </c>
      <c r="C39" s="125"/>
      <c r="D39" s="126">
        <v>239.80600000000001</v>
      </c>
      <c r="E39" s="126">
        <v>239.70599999999999</v>
      </c>
      <c r="F39" s="127">
        <f t="shared" si="12"/>
        <v>-0.1</v>
      </c>
      <c r="G39" s="128">
        <v>7</v>
      </c>
      <c r="H39" s="128">
        <v>20</v>
      </c>
      <c r="I39" s="128">
        <f t="shared" ref="I39" si="15">IF(F39&gt;0,0,(F39*G39*H39)*-1)</f>
        <v>14</v>
      </c>
      <c r="J39" s="128">
        <f t="shared" ref="J39" si="16">IF(F39&gt;0,F39*G39*H39,0)</f>
        <v>0</v>
      </c>
      <c r="K39" s="128"/>
      <c r="L39" s="129"/>
    </row>
    <row r="40" spans="1:12" x14ac:dyDescent="0.25">
      <c r="A40" s="130"/>
      <c r="B40" s="124" t="s">
        <v>222</v>
      </c>
      <c r="C40" s="125"/>
      <c r="D40" s="126">
        <v>240.65199999999999</v>
      </c>
      <c r="E40" s="126">
        <v>240.55199999999999</v>
      </c>
      <c r="F40" s="127">
        <f t="shared" ref="F40:F41" si="17">E40-D40</f>
        <v>-0.1</v>
      </c>
      <c r="G40" s="128">
        <v>7</v>
      </c>
      <c r="H40" s="128">
        <v>20</v>
      </c>
      <c r="I40" s="128">
        <f t="shared" ref="I40:I41" si="18">IF(F40&gt;0,0,(F40*G40*H40)*-1)</f>
        <v>14</v>
      </c>
      <c r="J40" s="128">
        <f t="shared" ref="J40:J41" si="19">IF(F40&gt;0,F40*G40*H40,0)</f>
        <v>0</v>
      </c>
      <c r="K40" s="128"/>
      <c r="L40" s="129"/>
    </row>
    <row r="41" spans="1:12" x14ac:dyDescent="0.25">
      <c r="A41" s="130"/>
      <c r="B41" s="124" t="s">
        <v>223</v>
      </c>
      <c r="C41" s="125"/>
      <c r="D41" s="126">
        <v>241.31899999999999</v>
      </c>
      <c r="E41" s="126">
        <v>241.21899999999999</v>
      </c>
      <c r="F41" s="127">
        <f t="shared" si="17"/>
        <v>-0.1</v>
      </c>
      <c r="G41" s="128">
        <v>7</v>
      </c>
      <c r="H41" s="128">
        <v>20</v>
      </c>
      <c r="I41" s="128">
        <f t="shared" si="18"/>
        <v>14</v>
      </c>
      <c r="J41" s="128">
        <f t="shared" si="19"/>
        <v>0</v>
      </c>
      <c r="K41" s="128"/>
      <c r="L41" s="129"/>
    </row>
    <row r="42" spans="1:12" x14ac:dyDescent="0.25">
      <c r="A42" s="130"/>
      <c r="B42" s="124" t="s">
        <v>478</v>
      </c>
      <c r="C42" s="125"/>
      <c r="D42" s="126">
        <v>241.31899999999999</v>
      </c>
      <c r="E42" s="126">
        <v>241.21899999999999</v>
      </c>
      <c r="F42" s="127">
        <f t="shared" si="9"/>
        <v>-0.1</v>
      </c>
      <c r="G42" s="128">
        <v>7</v>
      </c>
      <c r="H42" s="128">
        <v>6.95</v>
      </c>
      <c r="I42" s="128">
        <f t="shared" si="10"/>
        <v>4.87</v>
      </c>
      <c r="J42" s="128">
        <f t="shared" si="11"/>
        <v>0</v>
      </c>
      <c r="K42" s="128"/>
      <c r="L42" s="129"/>
    </row>
    <row r="43" spans="1:12" x14ac:dyDescent="0.25">
      <c r="A43" s="123"/>
      <c r="B43" s="191"/>
      <c r="C43" s="125"/>
      <c r="D43" s="192"/>
      <c r="E43" s="128"/>
      <c r="F43" s="158"/>
      <c r="G43" s="128"/>
      <c r="H43" s="188">
        <f>SUM(H35:H42)</f>
        <v>126.95</v>
      </c>
      <c r="I43" s="188">
        <f>SUM(I35:I42)</f>
        <v>88.87</v>
      </c>
      <c r="J43" s="188">
        <f>SUM(J35:J42)</f>
        <v>0</v>
      </c>
      <c r="K43" s="166"/>
      <c r="L43" s="193"/>
    </row>
    <row r="44" spans="1:12" ht="22.9" customHeight="1" x14ac:dyDescent="0.25">
      <c r="A44" s="175" t="s">
        <v>71</v>
      </c>
      <c r="B44" s="961" t="s">
        <v>449</v>
      </c>
      <c r="C44" s="962"/>
      <c r="D44" s="176"/>
      <c r="E44" s="177"/>
      <c r="F44" s="178"/>
      <c r="G44" s="177"/>
      <c r="H44" s="177"/>
      <c r="I44" s="179">
        <f>I54</f>
        <v>76.150000000000006</v>
      </c>
      <c r="J44" s="180">
        <f>J54</f>
        <v>0</v>
      </c>
      <c r="K44" s="148">
        <f>I44</f>
        <v>76.150000000000006</v>
      </c>
      <c r="L44" s="149"/>
    </row>
    <row r="45" spans="1:12" x14ac:dyDescent="0.25">
      <c r="A45" s="123"/>
      <c r="B45" s="124" t="s">
        <v>217</v>
      </c>
      <c r="C45" s="125"/>
      <c r="D45" s="126">
        <v>238.453</v>
      </c>
      <c r="E45" s="126">
        <v>238.35300000000001</v>
      </c>
      <c r="F45" s="127">
        <f t="shared" ref="F45:F46" si="20">E45-D45</f>
        <v>-0.1</v>
      </c>
      <c r="G45" s="128">
        <v>6</v>
      </c>
      <c r="H45" s="128">
        <v>0</v>
      </c>
      <c r="I45" s="128">
        <f t="shared" ref="I45:I46" si="21">IF(F45&gt;0,0,(F45*G45*H45)*-1)</f>
        <v>0</v>
      </c>
      <c r="J45" s="128">
        <f t="shared" ref="J45:J46" si="22">IF(F45&gt;0,F45*G45*H45,0)</f>
        <v>0</v>
      </c>
      <c r="K45" s="128"/>
      <c r="L45" s="129"/>
    </row>
    <row r="46" spans="1:12" x14ac:dyDescent="0.25">
      <c r="A46" s="130"/>
      <c r="B46" s="124" t="s">
        <v>218</v>
      </c>
      <c r="C46" s="125"/>
      <c r="D46" s="126">
        <v>238.36</v>
      </c>
      <c r="E46" s="126">
        <v>238.26</v>
      </c>
      <c r="F46" s="127">
        <f t="shared" si="20"/>
        <v>-0.1</v>
      </c>
      <c r="G46" s="128">
        <v>6</v>
      </c>
      <c r="H46" s="128">
        <v>20</v>
      </c>
      <c r="I46" s="128">
        <f t="shared" si="21"/>
        <v>12</v>
      </c>
      <c r="J46" s="128">
        <f t="shared" si="22"/>
        <v>0</v>
      </c>
      <c r="K46" s="128"/>
      <c r="L46" s="129"/>
    </row>
    <row r="47" spans="1:12" x14ac:dyDescent="0.25">
      <c r="A47" s="130"/>
      <c r="B47" s="124" t="s">
        <v>219</v>
      </c>
      <c r="C47" s="125"/>
      <c r="D47" s="126">
        <v>238.297</v>
      </c>
      <c r="E47" s="126">
        <v>238.197</v>
      </c>
      <c r="F47" s="127">
        <f t="shared" ref="F47:F52" si="23">E47-D47</f>
        <v>-0.1</v>
      </c>
      <c r="G47" s="128">
        <v>6</v>
      </c>
      <c r="H47" s="128">
        <v>20</v>
      </c>
      <c r="I47" s="128">
        <f t="shared" ref="I47:I52" si="24">IF(F47&gt;0,0,(F47*G47*H47)*-1)</f>
        <v>12</v>
      </c>
      <c r="J47" s="128">
        <f t="shared" ref="J47:J52" si="25">IF(F47&gt;0,F47*G47*H47,0)</f>
        <v>0</v>
      </c>
      <c r="K47" s="128"/>
      <c r="L47" s="129"/>
    </row>
    <row r="48" spans="1:12" x14ac:dyDescent="0.25">
      <c r="A48" s="130"/>
      <c r="B48" s="124" t="s">
        <v>475</v>
      </c>
      <c r="C48" s="125"/>
      <c r="D48" s="126">
        <v>238.15700000000001</v>
      </c>
      <c r="E48" s="126">
        <v>238.05699999999999</v>
      </c>
      <c r="F48" s="127">
        <f t="shared" ref="F48:F50" si="26">E48-D48</f>
        <v>-0.1</v>
      </c>
      <c r="G48" s="128">
        <v>6</v>
      </c>
      <c r="H48" s="128">
        <v>19</v>
      </c>
      <c r="I48" s="128">
        <f t="shared" ref="I48:I50" si="27">IF(F48&gt;0,0,(F48*G48*H48)*-1)</f>
        <v>11.4</v>
      </c>
      <c r="J48" s="128">
        <f t="shared" ref="J48:J50" si="28">IF(F48&gt;0,F48*G48*H48,0)</f>
        <v>0</v>
      </c>
      <c r="K48" s="128"/>
      <c r="L48" s="129"/>
    </row>
    <row r="49" spans="1:12" x14ac:dyDescent="0.25">
      <c r="A49" s="130"/>
      <c r="B49" s="124" t="s">
        <v>217</v>
      </c>
      <c r="C49" s="125"/>
      <c r="D49" s="126">
        <v>238.453</v>
      </c>
      <c r="E49" s="126">
        <v>238.35300000000001</v>
      </c>
      <c r="F49" s="127">
        <f t="shared" si="26"/>
        <v>-0.1</v>
      </c>
      <c r="G49" s="128">
        <v>6</v>
      </c>
      <c r="H49" s="128">
        <v>0</v>
      </c>
      <c r="I49" s="128">
        <f t="shared" si="27"/>
        <v>0</v>
      </c>
      <c r="J49" s="128">
        <f t="shared" si="28"/>
        <v>0</v>
      </c>
      <c r="K49" s="128"/>
      <c r="L49" s="129"/>
    </row>
    <row r="50" spans="1:12" x14ac:dyDescent="0.25">
      <c r="A50" s="130"/>
      <c r="B50" s="124" t="s">
        <v>218</v>
      </c>
      <c r="C50" s="125"/>
      <c r="D50" s="126">
        <v>238.15</v>
      </c>
      <c r="E50" s="126">
        <v>238.05</v>
      </c>
      <c r="F50" s="127">
        <f t="shared" si="26"/>
        <v>-0.1</v>
      </c>
      <c r="G50" s="128">
        <v>6</v>
      </c>
      <c r="H50" s="128">
        <v>20</v>
      </c>
      <c r="I50" s="128">
        <f t="shared" si="27"/>
        <v>12</v>
      </c>
      <c r="J50" s="128">
        <f t="shared" si="28"/>
        <v>0</v>
      </c>
      <c r="K50" s="128"/>
      <c r="L50" s="129"/>
    </row>
    <row r="51" spans="1:12" x14ac:dyDescent="0.25">
      <c r="A51" s="130"/>
      <c r="B51" s="124" t="s">
        <v>219</v>
      </c>
      <c r="C51" s="125"/>
      <c r="D51" s="126">
        <v>238.11099999999999</v>
      </c>
      <c r="E51" s="126">
        <v>238.011</v>
      </c>
      <c r="F51" s="127">
        <f t="shared" si="23"/>
        <v>-0.1</v>
      </c>
      <c r="G51" s="128">
        <v>6</v>
      </c>
      <c r="H51" s="128">
        <v>20</v>
      </c>
      <c r="I51" s="128">
        <f t="shared" si="24"/>
        <v>12</v>
      </c>
      <c r="J51" s="356">
        <f t="shared" si="25"/>
        <v>0</v>
      </c>
      <c r="K51" s="166"/>
      <c r="L51" s="129"/>
    </row>
    <row r="52" spans="1:12" x14ac:dyDescent="0.25">
      <c r="A52" s="130"/>
      <c r="B52" s="350" t="s">
        <v>220</v>
      </c>
      <c r="C52" s="133"/>
      <c r="D52" s="351">
        <v>238.185</v>
      </c>
      <c r="E52" s="351">
        <v>238.08500000000001</v>
      </c>
      <c r="F52" s="352">
        <f t="shared" si="23"/>
        <v>-0.1</v>
      </c>
      <c r="G52" s="128">
        <v>6</v>
      </c>
      <c r="H52" s="137">
        <v>20</v>
      </c>
      <c r="I52" s="354">
        <f t="shared" si="24"/>
        <v>12</v>
      </c>
      <c r="J52" s="357">
        <f t="shared" si="25"/>
        <v>0</v>
      </c>
      <c r="K52" s="166"/>
      <c r="L52" s="129"/>
    </row>
    <row r="53" spans="1:12" ht="13.15" customHeight="1" x14ac:dyDescent="0.25">
      <c r="A53" s="130"/>
      <c r="B53" s="350" t="s">
        <v>479</v>
      </c>
      <c r="C53" s="133"/>
      <c r="D53" s="351">
        <v>238.185</v>
      </c>
      <c r="E53" s="351">
        <v>238.08500000000001</v>
      </c>
      <c r="F53" s="352">
        <f t="shared" ref="F53" si="29">E53-D53</f>
        <v>-0.1</v>
      </c>
      <c r="G53" s="128">
        <v>6</v>
      </c>
      <c r="H53" s="137">
        <v>7.92</v>
      </c>
      <c r="I53" s="355">
        <f t="shared" ref="I53" si="30">IF(F53&gt;0,0,(F53*G53*H53)*-1)</f>
        <v>4.75</v>
      </c>
      <c r="J53" s="358">
        <f t="shared" ref="J53" si="31">IF(F53&gt;0,F53*G53*H53,0)</f>
        <v>0</v>
      </c>
      <c r="K53" s="166"/>
      <c r="L53" s="129"/>
    </row>
    <row r="54" spans="1:12" x14ac:dyDescent="0.25">
      <c r="A54" s="123"/>
      <c r="B54" s="191"/>
      <c r="C54" s="125"/>
      <c r="D54" s="192"/>
      <c r="E54" s="128"/>
      <c r="F54" s="158"/>
      <c r="G54" s="128"/>
      <c r="H54" s="188">
        <f>SUM(H45:H53)</f>
        <v>126.92</v>
      </c>
      <c r="I54" s="188">
        <f>SUM(I45:I53)</f>
        <v>76.150000000000006</v>
      </c>
      <c r="J54" s="194">
        <f>SUM(J45:J51)</f>
        <v>0</v>
      </c>
      <c r="K54" s="166"/>
      <c r="L54" s="193"/>
    </row>
    <row r="55" spans="1:12" ht="21" customHeight="1" x14ac:dyDescent="0.25">
      <c r="A55" s="175" t="s">
        <v>82</v>
      </c>
      <c r="B55" s="961" t="s">
        <v>450</v>
      </c>
      <c r="C55" s="962"/>
      <c r="D55" s="176"/>
      <c r="E55" s="177"/>
      <c r="F55" s="178"/>
      <c r="G55" s="177"/>
      <c r="H55" s="177"/>
      <c r="I55" s="179">
        <f>I63</f>
        <v>71.39</v>
      </c>
      <c r="J55" s="180">
        <f>J63</f>
        <v>0</v>
      </c>
      <c r="K55" s="148">
        <f>I55</f>
        <v>71.39</v>
      </c>
      <c r="L55" s="149"/>
    </row>
    <row r="56" spans="1:12" x14ac:dyDescent="0.25">
      <c r="A56" s="123"/>
      <c r="B56" s="124" t="s">
        <v>217</v>
      </c>
      <c r="C56" s="125"/>
      <c r="D56" s="126">
        <v>239.613</v>
      </c>
      <c r="E56" s="126">
        <v>239.51300000000001</v>
      </c>
      <c r="F56" s="127">
        <f t="shared" ref="F56:F58" si="32">E56-D56</f>
        <v>-0.1</v>
      </c>
      <c r="G56" s="128">
        <v>6</v>
      </c>
      <c r="H56" s="128">
        <v>0</v>
      </c>
      <c r="I56" s="128">
        <f t="shared" ref="I56:I58" si="33">IF(F56&gt;0,0,(F56*G56*H56)*-1)</f>
        <v>0</v>
      </c>
      <c r="J56" s="128">
        <f t="shared" ref="J56:J58" si="34">IF(F56&gt;0,F56*G56*H56,0)</f>
        <v>0</v>
      </c>
      <c r="K56" s="128"/>
      <c r="L56" s="129"/>
    </row>
    <row r="57" spans="1:12" x14ac:dyDescent="0.25">
      <c r="A57" s="130"/>
      <c r="B57" s="124" t="s">
        <v>218</v>
      </c>
      <c r="C57" s="125"/>
      <c r="D57" s="126">
        <v>239.804</v>
      </c>
      <c r="E57" s="126">
        <v>239.70400000000001</v>
      </c>
      <c r="F57" s="127">
        <f t="shared" si="32"/>
        <v>-0.1</v>
      </c>
      <c r="G57" s="128">
        <v>6</v>
      </c>
      <c r="H57" s="128">
        <v>20</v>
      </c>
      <c r="I57" s="128">
        <f t="shared" si="33"/>
        <v>12</v>
      </c>
      <c r="J57" s="128">
        <f t="shared" si="34"/>
        <v>0</v>
      </c>
      <c r="K57" s="128"/>
      <c r="L57" s="129"/>
    </row>
    <row r="58" spans="1:12" x14ac:dyDescent="0.25">
      <c r="A58" s="130"/>
      <c r="B58" s="124" t="s">
        <v>219</v>
      </c>
      <c r="C58" s="125"/>
      <c r="D58" s="126">
        <v>239.928</v>
      </c>
      <c r="E58" s="126">
        <v>239.828</v>
      </c>
      <c r="F58" s="127">
        <f t="shared" si="32"/>
        <v>-0.1</v>
      </c>
      <c r="G58" s="128">
        <v>6</v>
      </c>
      <c r="H58" s="128">
        <v>20</v>
      </c>
      <c r="I58" s="128">
        <f t="shared" si="33"/>
        <v>12</v>
      </c>
      <c r="J58" s="128">
        <f t="shared" si="34"/>
        <v>0</v>
      </c>
      <c r="K58" s="128"/>
      <c r="L58" s="129"/>
    </row>
    <row r="59" spans="1:12" x14ac:dyDescent="0.25">
      <c r="A59" s="130"/>
      <c r="B59" s="124" t="s">
        <v>220</v>
      </c>
      <c r="C59" s="125"/>
      <c r="D59" s="126">
        <v>239.929</v>
      </c>
      <c r="E59" s="126">
        <v>239.82900000000001</v>
      </c>
      <c r="F59" s="127">
        <f t="shared" ref="F59:F62" si="35">E59-D59</f>
        <v>-0.1</v>
      </c>
      <c r="G59" s="128">
        <v>6</v>
      </c>
      <c r="H59" s="128">
        <v>20</v>
      </c>
      <c r="I59" s="128">
        <f t="shared" ref="I59:I62" si="36">IF(F59&gt;0,0,(F59*G59*H59)*-1)</f>
        <v>12</v>
      </c>
      <c r="J59" s="128">
        <f t="shared" ref="J59:J62" si="37">IF(F59&gt;0,F59*G59*H59,0)</f>
        <v>0</v>
      </c>
      <c r="K59" s="128"/>
      <c r="L59" s="129"/>
    </row>
    <row r="60" spans="1:12" x14ac:dyDescent="0.25">
      <c r="A60" s="130"/>
      <c r="B60" s="124" t="s">
        <v>221</v>
      </c>
      <c r="C60" s="125"/>
      <c r="D60" s="126">
        <v>239.756</v>
      </c>
      <c r="E60" s="126">
        <v>239.65600000000001</v>
      </c>
      <c r="F60" s="127">
        <f t="shared" si="35"/>
        <v>-0.1</v>
      </c>
      <c r="G60" s="128">
        <v>6</v>
      </c>
      <c r="H60" s="128">
        <v>20</v>
      </c>
      <c r="I60" s="128">
        <f t="shared" si="36"/>
        <v>12</v>
      </c>
      <c r="J60" s="128">
        <f t="shared" si="37"/>
        <v>0</v>
      </c>
      <c r="K60" s="128"/>
      <c r="L60" s="129"/>
    </row>
    <row r="61" spans="1:12" x14ac:dyDescent="0.25">
      <c r="A61" s="130"/>
      <c r="B61" s="124" t="s">
        <v>222</v>
      </c>
      <c r="C61" s="125"/>
      <c r="D61" s="126">
        <v>239.60499999999999</v>
      </c>
      <c r="E61" s="126">
        <v>239.505</v>
      </c>
      <c r="F61" s="127">
        <f t="shared" si="35"/>
        <v>-0.1</v>
      </c>
      <c r="G61" s="128">
        <v>6</v>
      </c>
      <c r="H61" s="128">
        <v>20</v>
      </c>
      <c r="I61" s="128">
        <f t="shared" si="36"/>
        <v>12</v>
      </c>
      <c r="J61" s="128">
        <f t="shared" si="37"/>
        <v>0</v>
      </c>
      <c r="K61" s="128"/>
      <c r="L61" s="129"/>
    </row>
    <row r="62" spans="1:12" x14ac:dyDescent="0.25">
      <c r="A62" s="130"/>
      <c r="B62" s="124" t="s">
        <v>480</v>
      </c>
      <c r="C62" s="125"/>
      <c r="D62" s="126">
        <v>239.28</v>
      </c>
      <c r="E62" s="126">
        <v>239.18</v>
      </c>
      <c r="F62" s="127">
        <f t="shared" si="35"/>
        <v>-0.1</v>
      </c>
      <c r="G62" s="128">
        <v>6</v>
      </c>
      <c r="H62" s="128">
        <v>18.989999999999998</v>
      </c>
      <c r="I62" s="128">
        <f t="shared" si="36"/>
        <v>11.39</v>
      </c>
      <c r="J62" s="128">
        <f t="shared" si="37"/>
        <v>0</v>
      </c>
      <c r="K62" s="128"/>
      <c r="L62" s="129"/>
    </row>
    <row r="63" spans="1:12" x14ac:dyDescent="0.25">
      <c r="A63" s="123"/>
      <c r="B63" s="191"/>
      <c r="C63" s="125"/>
      <c r="D63" s="192"/>
      <c r="E63" s="128"/>
      <c r="F63" s="158"/>
      <c r="G63" s="128"/>
      <c r="H63" s="188">
        <f>SUM(H56:H62)</f>
        <v>118.99</v>
      </c>
      <c r="I63" s="188">
        <f>SUM(I56:I62)</f>
        <v>71.39</v>
      </c>
      <c r="J63" s="194">
        <f>SUM(J56:J59)</f>
        <v>0</v>
      </c>
      <c r="K63" s="166"/>
      <c r="L63" s="193"/>
    </row>
    <row r="64" spans="1:12" ht="21.6" customHeight="1" x14ac:dyDescent="0.25">
      <c r="A64" s="175" t="s">
        <v>93</v>
      </c>
      <c r="B64" s="961" t="s">
        <v>481</v>
      </c>
      <c r="C64" s="962"/>
      <c r="D64" s="176"/>
      <c r="E64" s="177"/>
      <c r="F64" s="178"/>
      <c r="G64" s="177"/>
      <c r="H64" s="177"/>
      <c r="I64" s="179">
        <f>I73</f>
        <v>63.34</v>
      </c>
      <c r="J64" s="180">
        <f>J73</f>
        <v>0</v>
      </c>
      <c r="K64" s="148">
        <f>I64</f>
        <v>63.34</v>
      </c>
      <c r="L64" s="149"/>
    </row>
    <row r="65" spans="1:12" x14ac:dyDescent="0.25">
      <c r="A65" s="123"/>
      <c r="B65" s="977" t="s">
        <v>217</v>
      </c>
      <c r="C65" s="978"/>
      <c r="D65" s="126">
        <v>240.45099999999999</v>
      </c>
      <c r="E65" s="126">
        <v>240.351</v>
      </c>
      <c r="F65" s="127">
        <f t="shared" ref="F65:F66" si="38">E65-D65</f>
        <v>-0.1</v>
      </c>
      <c r="G65" s="128">
        <v>5</v>
      </c>
      <c r="H65" s="128">
        <v>0</v>
      </c>
      <c r="I65" s="128">
        <f t="shared" ref="I65:I66" si="39">IF(F65&gt;0,0,(F65*G65*H65)*-1)</f>
        <v>0</v>
      </c>
      <c r="J65" s="128">
        <f t="shared" ref="J65:J66" si="40">IF(F65&gt;0,F65*G65*H65,0)</f>
        <v>0</v>
      </c>
      <c r="K65" s="128"/>
      <c r="L65" s="129"/>
    </row>
    <row r="66" spans="1:12" x14ac:dyDescent="0.25">
      <c r="A66" s="130"/>
      <c r="B66" s="975" t="s">
        <v>218</v>
      </c>
      <c r="C66" s="976"/>
      <c r="D66" s="126">
        <v>239.904</v>
      </c>
      <c r="E66" s="126">
        <v>239.804</v>
      </c>
      <c r="F66" s="127">
        <f t="shared" si="38"/>
        <v>-0.1</v>
      </c>
      <c r="G66" s="128">
        <v>5</v>
      </c>
      <c r="H66" s="128">
        <v>20</v>
      </c>
      <c r="I66" s="128">
        <f t="shared" si="39"/>
        <v>10</v>
      </c>
      <c r="J66" s="128">
        <f t="shared" si="40"/>
        <v>0</v>
      </c>
      <c r="K66" s="128"/>
      <c r="L66" s="129"/>
    </row>
    <row r="67" spans="1:12" x14ac:dyDescent="0.25">
      <c r="A67" s="130"/>
      <c r="B67" s="975" t="s">
        <v>219</v>
      </c>
      <c r="C67" s="976"/>
      <c r="D67" s="126">
        <v>239.29400000000001</v>
      </c>
      <c r="E67" s="126">
        <v>239.19399999999999</v>
      </c>
      <c r="F67" s="127">
        <f t="shared" ref="F67:F72" si="41">E67-D67</f>
        <v>-0.1</v>
      </c>
      <c r="G67" s="128">
        <v>5</v>
      </c>
      <c r="H67" s="128">
        <v>20</v>
      </c>
      <c r="I67" s="128">
        <f t="shared" ref="I67:I72" si="42">IF(F67&gt;0,0,(F67*G67*H67)*-1)</f>
        <v>10</v>
      </c>
      <c r="J67" s="128">
        <f t="shared" ref="J67:J72" si="43">IF(F67&gt;0,F67*G67*H67,0)</f>
        <v>0</v>
      </c>
      <c r="K67" s="128"/>
      <c r="L67" s="129"/>
    </row>
    <row r="68" spans="1:12" x14ac:dyDescent="0.25">
      <c r="A68" s="130"/>
      <c r="B68" s="975" t="s">
        <v>220</v>
      </c>
      <c r="C68" s="976"/>
      <c r="D68" s="126">
        <v>238.58799999999999</v>
      </c>
      <c r="E68" s="126">
        <v>238.488</v>
      </c>
      <c r="F68" s="127">
        <f t="shared" si="41"/>
        <v>-0.1</v>
      </c>
      <c r="G68" s="128">
        <v>5</v>
      </c>
      <c r="H68" s="128">
        <v>20</v>
      </c>
      <c r="I68" s="128">
        <f t="shared" si="42"/>
        <v>10</v>
      </c>
      <c r="J68" s="128">
        <f t="shared" si="43"/>
        <v>0</v>
      </c>
      <c r="K68" s="128"/>
      <c r="L68" s="129"/>
    </row>
    <row r="69" spans="1:12" x14ac:dyDescent="0.25">
      <c r="A69" s="130"/>
      <c r="B69" s="975" t="s">
        <v>221</v>
      </c>
      <c r="C69" s="976"/>
      <c r="D69" s="126">
        <v>238.214</v>
      </c>
      <c r="E69" s="126">
        <v>238.114</v>
      </c>
      <c r="F69" s="127">
        <f t="shared" si="41"/>
        <v>-0.1</v>
      </c>
      <c r="G69" s="128">
        <v>5</v>
      </c>
      <c r="H69" s="128">
        <v>20</v>
      </c>
      <c r="I69" s="128">
        <f t="shared" si="42"/>
        <v>10</v>
      </c>
      <c r="J69" s="128">
        <f t="shared" si="43"/>
        <v>0</v>
      </c>
      <c r="K69" s="128"/>
      <c r="L69" s="129"/>
    </row>
    <row r="70" spans="1:12" x14ac:dyDescent="0.25">
      <c r="A70" s="130"/>
      <c r="B70" s="975" t="s">
        <v>222</v>
      </c>
      <c r="C70" s="976"/>
      <c r="D70" s="126">
        <v>238.142</v>
      </c>
      <c r="E70" s="126">
        <v>238.042</v>
      </c>
      <c r="F70" s="127">
        <f t="shared" si="41"/>
        <v>-0.1</v>
      </c>
      <c r="G70" s="128">
        <v>5</v>
      </c>
      <c r="H70" s="128">
        <v>20</v>
      </c>
      <c r="I70" s="128">
        <f t="shared" si="42"/>
        <v>10</v>
      </c>
      <c r="J70" s="128">
        <f t="shared" si="43"/>
        <v>0</v>
      </c>
      <c r="K70" s="128"/>
      <c r="L70" s="129"/>
    </row>
    <row r="71" spans="1:12" x14ac:dyDescent="0.25">
      <c r="A71" s="130"/>
      <c r="B71" s="975" t="s">
        <v>223</v>
      </c>
      <c r="C71" s="976"/>
      <c r="D71" s="126">
        <v>238.13300000000001</v>
      </c>
      <c r="E71" s="126">
        <v>238.03299999999999</v>
      </c>
      <c r="F71" s="127">
        <f t="shared" si="41"/>
        <v>-0.1</v>
      </c>
      <c r="G71" s="128">
        <v>5</v>
      </c>
      <c r="H71" s="128">
        <v>20</v>
      </c>
      <c r="I71" s="128">
        <f t="shared" si="42"/>
        <v>10</v>
      </c>
      <c r="J71" s="128">
        <f t="shared" si="43"/>
        <v>0</v>
      </c>
      <c r="K71" s="128"/>
      <c r="L71" s="129"/>
    </row>
    <row r="72" spans="1:12" x14ac:dyDescent="0.25">
      <c r="A72" s="130"/>
      <c r="B72" s="975" t="s">
        <v>482</v>
      </c>
      <c r="C72" s="976"/>
      <c r="D72" s="126">
        <v>238.14599999999999</v>
      </c>
      <c r="E72" s="126">
        <v>238.04599999999999</v>
      </c>
      <c r="F72" s="127">
        <f t="shared" si="41"/>
        <v>-0.1</v>
      </c>
      <c r="G72" s="128">
        <v>5</v>
      </c>
      <c r="H72" s="128">
        <v>6.68</v>
      </c>
      <c r="I72" s="128">
        <f t="shared" si="42"/>
        <v>3.34</v>
      </c>
      <c r="J72" s="128">
        <f t="shared" si="43"/>
        <v>0</v>
      </c>
      <c r="K72" s="128"/>
      <c r="L72" s="129"/>
    </row>
    <row r="73" spans="1:12" x14ac:dyDescent="0.25">
      <c r="A73" s="123"/>
      <c r="B73" s="191"/>
      <c r="C73" s="125"/>
      <c r="D73" s="192"/>
      <c r="E73" s="128"/>
      <c r="F73" s="158"/>
      <c r="G73" s="128"/>
      <c r="H73" s="188">
        <f>SUM(H65:H72)</f>
        <v>126.68</v>
      </c>
      <c r="I73" s="188">
        <f>SUM(I65:I72)</f>
        <v>63.34</v>
      </c>
      <c r="J73" s="194">
        <f>SUM(J65:J72)</f>
        <v>0</v>
      </c>
      <c r="K73" s="166"/>
      <c r="L73" s="193"/>
    </row>
    <row r="74" spans="1:12" x14ac:dyDescent="0.25">
      <c r="A74" s="175" t="s">
        <v>103</v>
      </c>
      <c r="B74" s="961" t="s">
        <v>483</v>
      </c>
      <c r="C74" s="962"/>
      <c r="D74" s="176"/>
      <c r="E74" s="177"/>
      <c r="F74" s="178"/>
      <c r="G74" s="177"/>
      <c r="H74" s="177"/>
      <c r="I74" s="179">
        <f>I86</f>
        <v>113.12</v>
      </c>
      <c r="J74" s="180">
        <f>J86</f>
        <v>0</v>
      </c>
      <c r="K74" s="148">
        <f>I74</f>
        <v>113.12</v>
      </c>
      <c r="L74" s="149"/>
    </row>
    <row r="75" spans="1:12" x14ac:dyDescent="0.25">
      <c r="A75" s="123"/>
      <c r="B75" s="977" t="s">
        <v>217</v>
      </c>
      <c r="C75" s="978"/>
      <c r="D75" s="126">
        <v>239.965</v>
      </c>
      <c r="E75" s="126">
        <f>D75-0.1</f>
        <v>239.86500000000001</v>
      </c>
      <c r="F75" s="127">
        <f t="shared" ref="F75:F83" si="44">E75-D75</f>
        <v>-0.1</v>
      </c>
      <c r="G75" s="128">
        <v>6</v>
      </c>
      <c r="H75" s="128">
        <v>0</v>
      </c>
      <c r="I75" s="128">
        <f t="shared" ref="I75:I83" si="45">IF(F75&gt;0,0,(F75*G75*H75)*-1)</f>
        <v>0</v>
      </c>
      <c r="J75" s="128">
        <f t="shared" ref="J75:J83" si="46">IF(F75&gt;0,F75*G75*H75,0)</f>
        <v>0</v>
      </c>
      <c r="K75" s="128"/>
      <c r="L75" s="129"/>
    </row>
    <row r="76" spans="1:12" x14ac:dyDescent="0.25">
      <c r="A76" s="130"/>
      <c r="B76" s="975" t="s">
        <v>218</v>
      </c>
      <c r="C76" s="976"/>
      <c r="D76" s="126">
        <v>239.81200000000001</v>
      </c>
      <c r="E76" s="126">
        <f t="shared" ref="E76:E85" si="47">D76-0.1</f>
        <v>239.71199999999999</v>
      </c>
      <c r="F76" s="127">
        <f t="shared" si="44"/>
        <v>-0.1</v>
      </c>
      <c r="G76" s="128">
        <v>6</v>
      </c>
      <c r="H76" s="128">
        <v>20</v>
      </c>
      <c r="I76" s="128">
        <f t="shared" si="45"/>
        <v>12</v>
      </c>
      <c r="J76" s="128">
        <f t="shared" si="46"/>
        <v>0</v>
      </c>
      <c r="K76" s="128"/>
      <c r="L76" s="129"/>
    </row>
    <row r="77" spans="1:12" x14ac:dyDescent="0.25">
      <c r="A77" s="130"/>
      <c r="B77" s="975" t="s">
        <v>219</v>
      </c>
      <c r="C77" s="976"/>
      <c r="D77" s="126">
        <v>239.602</v>
      </c>
      <c r="E77" s="126">
        <f t="shared" si="47"/>
        <v>239.50200000000001</v>
      </c>
      <c r="F77" s="127">
        <f t="shared" si="44"/>
        <v>-0.1</v>
      </c>
      <c r="G77" s="128">
        <v>6</v>
      </c>
      <c r="H77" s="128">
        <v>20</v>
      </c>
      <c r="I77" s="128">
        <f t="shared" si="45"/>
        <v>12</v>
      </c>
      <c r="J77" s="128">
        <f t="shared" si="46"/>
        <v>0</v>
      </c>
      <c r="K77" s="128"/>
      <c r="L77" s="129"/>
    </row>
    <row r="78" spans="1:12" x14ac:dyDescent="0.25">
      <c r="A78" s="130"/>
      <c r="B78" s="975" t="s">
        <v>220</v>
      </c>
      <c r="C78" s="976"/>
      <c r="D78" s="126">
        <v>239.697</v>
      </c>
      <c r="E78" s="126">
        <f t="shared" si="47"/>
        <v>239.59700000000001</v>
      </c>
      <c r="F78" s="127">
        <f t="shared" si="44"/>
        <v>-0.1</v>
      </c>
      <c r="G78" s="128">
        <v>6</v>
      </c>
      <c r="H78" s="128">
        <v>20</v>
      </c>
      <c r="I78" s="128">
        <f t="shared" si="45"/>
        <v>12</v>
      </c>
      <c r="J78" s="128">
        <f t="shared" si="46"/>
        <v>0</v>
      </c>
      <c r="K78" s="128"/>
      <c r="L78" s="129"/>
    </row>
    <row r="79" spans="1:12" x14ac:dyDescent="0.25">
      <c r="A79" s="130"/>
      <c r="B79" s="975" t="s">
        <v>221</v>
      </c>
      <c r="C79" s="976"/>
      <c r="D79" s="126">
        <v>239.80600000000001</v>
      </c>
      <c r="E79" s="126">
        <f t="shared" si="47"/>
        <v>239.70599999999999</v>
      </c>
      <c r="F79" s="127">
        <f t="shared" si="44"/>
        <v>-0.1</v>
      </c>
      <c r="G79" s="128">
        <v>6</v>
      </c>
      <c r="H79" s="128">
        <v>20</v>
      </c>
      <c r="I79" s="128">
        <f t="shared" si="45"/>
        <v>12</v>
      </c>
      <c r="J79" s="128">
        <f t="shared" si="46"/>
        <v>0</v>
      </c>
      <c r="K79" s="128"/>
      <c r="L79" s="129"/>
    </row>
    <row r="80" spans="1:12" x14ac:dyDescent="0.25">
      <c r="A80" s="130"/>
      <c r="B80" s="975" t="s">
        <v>222</v>
      </c>
      <c r="C80" s="976"/>
      <c r="D80" s="126">
        <v>240.65199999999999</v>
      </c>
      <c r="E80" s="126">
        <f t="shared" si="47"/>
        <v>240.55199999999999</v>
      </c>
      <c r="F80" s="127">
        <f t="shared" si="44"/>
        <v>-0.1</v>
      </c>
      <c r="G80" s="128">
        <v>6</v>
      </c>
      <c r="H80" s="128">
        <v>20</v>
      </c>
      <c r="I80" s="128">
        <f t="shared" si="45"/>
        <v>12</v>
      </c>
      <c r="J80" s="128">
        <f t="shared" si="46"/>
        <v>0</v>
      </c>
      <c r="K80" s="128"/>
      <c r="L80" s="129"/>
    </row>
    <row r="81" spans="1:12" x14ac:dyDescent="0.25">
      <c r="A81" s="130"/>
      <c r="B81" s="975" t="s">
        <v>223</v>
      </c>
      <c r="C81" s="976"/>
      <c r="D81" s="126">
        <v>241.31899999999999</v>
      </c>
      <c r="E81" s="126">
        <f t="shared" si="47"/>
        <v>241.21899999999999</v>
      </c>
      <c r="F81" s="127">
        <f t="shared" si="44"/>
        <v>-0.1</v>
      </c>
      <c r="G81" s="128">
        <v>6</v>
      </c>
      <c r="H81" s="128">
        <v>20</v>
      </c>
      <c r="I81" s="128">
        <f t="shared" si="45"/>
        <v>12</v>
      </c>
      <c r="J81" s="128">
        <f t="shared" si="46"/>
        <v>0</v>
      </c>
      <c r="K81" s="128"/>
      <c r="L81" s="129"/>
    </row>
    <row r="82" spans="1:12" x14ac:dyDescent="0.25">
      <c r="A82" s="130"/>
      <c r="B82" s="975" t="s">
        <v>224</v>
      </c>
      <c r="C82" s="976"/>
      <c r="D82" s="126">
        <v>239.702</v>
      </c>
      <c r="E82" s="126">
        <f t="shared" si="47"/>
        <v>239.602</v>
      </c>
      <c r="F82" s="127">
        <f t="shared" si="44"/>
        <v>-0.1</v>
      </c>
      <c r="G82" s="128">
        <v>6</v>
      </c>
      <c r="H82" s="128">
        <v>20</v>
      </c>
      <c r="I82" s="128">
        <f t="shared" si="45"/>
        <v>12</v>
      </c>
      <c r="J82" s="128">
        <f t="shared" si="46"/>
        <v>0</v>
      </c>
      <c r="K82" s="128"/>
      <c r="L82" s="129"/>
    </row>
    <row r="83" spans="1:12" x14ac:dyDescent="0.25">
      <c r="A83" s="130"/>
      <c r="B83" s="975" t="s">
        <v>225</v>
      </c>
      <c r="C83" s="976"/>
      <c r="D83" s="126">
        <v>241.934</v>
      </c>
      <c r="E83" s="126">
        <f t="shared" si="47"/>
        <v>241.834</v>
      </c>
      <c r="F83" s="127">
        <f t="shared" si="44"/>
        <v>-0.1</v>
      </c>
      <c r="G83" s="128">
        <v>6</v>
      </c>
      <c r="H83" s="128">
        <v>20</v>
      </c>
      <c r="I83" s="128">
        <f t="shared" si="45"/>
        <v>12</v>
      </c>
      <c r="J83" s="128">
        <f t="shared" si="46"/>
        <v>0</v>
      </c>
      <c r="K83" s="128"/>
      <c r="L83" s="129"/>
    </row>
    <row r="84" spans="1:12" x14ac:dyDescent="0.25">
      <c r="A84" s="130"/>
      <c r="B84" s="975" t="s">
        <v>226</v>
      </c>
      <c r="C84" s="976"/>
      <c r="D84" s="126">
        <v>242.40600000000001</v>
      </c>
      <c r="E84" s="126">
        <f t="shared" si="47"/>
        <v>242.30600000000001</v>
      </c>
      <c r="F84" s="127">
        <f t="shared" ref="F84:F85" si="48">E84-D84</f>
        <v>-0.1</v>
      </c>
      <c r="G84" s="128">
        <v>6</v>
      </c>
      <c r="H84" s="128">
        <v>20</v>
      </c>
      <c r="I84" s="128">
        <f t="shared" ref="I84:I85" si="49">IF(F84&gt;0,0,(F84*G84*H84)*-1)</f>
        <v>12</v>
      </c>
      <c r="J84" s="128">
        <f t="shared" ref="J84:J85" si="50">IF(F84&gt;0,F84*G84*H84,0)</f>
        <v>0</v>
      </c>
      <c r="K84" s="128"/>
      <c r="L84" s="129"/>
    </row>
    <row r="85" spans="1:12" x14ac:dyDescent="0.25">
      <c r="A85" s="130"/>
      <c r="B85" s="975" t="s">
        <v>484</v>
      </c>
      <c r="C85" s="976"/>
      <c r="D85" s="126">
        <v>242.52099999999999</v>
      </c>
      <c r="E85" s="126">
        <f t="shared" si="47"/>
        <v>242.42099999999999</v>
      </c>
      <c r="F85" s="127">
        <f t="shared" si="48"/>
        <v>-0.1</v>
      </c>
      <c r="G85" s="128">
        <v>6</v>
      </c>
      <c r="H85" s="128">
        <v>8.5299999999999994</v>
      </c>
      <c r="I85" s="128">
        <f t="shared" si="49"/>
        <v>5.12</v>
      </c>
      <c r="J85" s="128">
        <f t="shared" si="50"/>
        <v>0</v>
      </c>
      <c r="K85" s="128"/>
      <c r="L85" s="129"/>
    </row>
    <row r="86" spans="1:12" x14ac:dyDescent="0.25">
      <c r="A86" s="123"/>
      <c r="B86" s="191"/>
      <c r="C86" s="125"/>
      <c r="D86" s="192"/>
      <c r="E86" s="128"/>
      <c r="F86" s="158"/>
      <c r="G86" s="128"/>
      <c r="H86" s="188">
        <f>SUM(H75:H85)</f>
        <v>188.53</v>
      </c>
      <c r="I86" s="188">
        <f>SUM(I75:I85)</f>
        <v>113.12</v>
      </c>
      <c r="J86" s="194">
        <f>SUM(J75:J85)</f>
        <v>0</v>
      </c>
      <c r="K86" s="166"/>
      <c r="L86" s="193"/>
    </row>
    <row r="87" spans="1:12" x14ac:dyDescent="0.25">
      <c r="A87" s="175" t="s">
        <v>113</v>
      </c>
      <c r="B87" s="961" t="s">
        <v>453</v>
      </c>
      <c r="C87" s="962"/>
      <c r="D87" s="176"/>
      <c r="E87" s="177"/>
      <c r="F87" s="178"/>
      <c r="G87" s="177"/>
      <c r="H87" s="177"/>
      <c r="I87" s="179">
        <f>I107</f>
        <v>241.16</v>
      </c>
      <c r="J87" s="180">
        <f>J107</f>
        <v>0</v>
      </c>
      <c r="K87" s="148">
        <f>I87</f>
        <v>241.16</v>
      </c>
      <c r="L87" s="149"/>
    </row>
    <row r="88" spans="1:12" x14ac:dyDescent="0.25">
      <c r="A88" s="123"/>
      <c r="B88" s="981" t="s">
        <v>217</v>
      </c>
      <c r="C88" s="982"/>
      <c r="D88" s="301">
        <v>240.10400000000001</v>
      </c>
      <c r="E88" s="301">
        <f>D88-0.1</f>
        <v>240.00399999999999</v>
      </c>
      <c r="F88" s="127">
        <f t="shared" ref="F88:F93" si="51">E88-D88</f>
        <v>-0.1</v>
      </c>
      <c r="G88" s="128">
        <v>7</v>
      </c>
      <c r="H88" s="128">
        <v>0</v>
      </c>
      <c r="I88" s="128">
        <f t="shared" ref="I88:I93" si="52">IF(F88&gt;0,0,(F88*G88*H88)*-1)</f>
        <v>0</v>
      </c>
      <c r="J88" s="128">
        <f t="shared" ref="J88:J93" si="53">IF(F88&gt;0,F88*G88*H88,0)</f>
        <v>0</v>
      </c>
      <c r="K88" s="128"/>
      <c r="L88" s="129"/>
    </row>
    <row r="89" spans="1:12" x14ac:dyDescent="0.25">
      <c r="A89" s="130"/>
      <c r="B89" s="979" t="s">
        <v>218</v>
      </c>
      <c r="C89" s="980"/>
      <c r="D89" s="301">
        <v>240.25</v>
      </c>
      <c r="E89" s="301">
        <f t="shared" ref="E89:E106" si="54">D89-0.1</f>
        <v>240.15</v>
      </c>
      <c r="F89" s="127">
        <f t="shared" si="51"/>
        <v>-0.1</v>
      </c>
      <c r="G89" s="128">
        <v>7</v>
      </c>
      <c r="H89" s="128">
        <v>20</v>
      </c>
      <c r="I89" s="128">
        <f t="shared" si="52"/>
        <v>14</v>
      </c>
      <c r="J89" s="128">
        <f t="shared" si="53"/>
        <v>0</v>
      </c>
      <c r="K89" s="128"/>
      <c r="L89" s="129"/>
    </row>
    <row r="90" spans="1:12" x14ac:dyDescent="0.25">
      <c r="A90" s="130"/>
      <c r="B90" s="979" t="s">
        <v>219</v>
      </c>
      <c r="C90" s="980"/>
      <c r="D90" s="301">
        <v>240.03299999999999</v>
      </c>
      <c r="E90" s="301">
        <f t="shared" si="54"/>
        <v>239.93299999999999</v>
      </c>
      <c r="F90" s="127">
        <f t="shared" si="51"/>
        <v>-0.1</v>
      </c>
      <c r="G90" s="128">
        <v>7</v>
      </c>
      <c r="H90" s="128">
        <v>20</v>
      </c>
      <c r="I90" s="128">
        <f t="shared" si="52"/>
        <v>14</v>
      </c>
      <c r="J90" s="128">
        <f t="shared" si="53"/>
        <v>0</v>
      </c>
      <c r="K90" s="128"/>
      <c r="L90" s="129"/>
    </row>
    <row r="91" spans="1:12" x14ac:dyDescent="0.25">
      <c r="A91" s="130"/>
      <c r="B91" s="979" t="s">
        <v>220</v>
      </c>
      <c r="C91" s="980"/>
      <c r="D91" s="301">
        <v>239.80199999999999</v>
      </c>
      <c r="E91" s="301">
        <f t="shared" si="54"/>
        <v>239.702</v>
      </c>
      <c r="F91" s="127">
        <f t="shared" si="51"/>
        <v>-0.1</v>
      </c>
      <c r="G91" s="128">
        <v>7</v>
      </c>
      <c r="H91" s="128">
        <v>20</v>
      </c>
      <c r="I91" s="128">
        <f t="shared" si="52"/>
        <v>14</v>
      </c>
      <c r="J91" s="128">
        <f t="shared" si="53"/>
        <v>0</v>
      </c>
      <c r="K91" s="128"/>
      <c r="L91" s="129"/>
    </row>
    <row r="92" spans="1:12" x14ac:dyDescent="0.25">
      <c r="A92" s="130"/>
      <c r="B92" s="979" t="s">
        <v>221</v>
      </c>
      <c r="C92" s="980"/>
      <c r="D92" s="301">
        <v>239.733</v>
      </c>
      <c r="E92" s="301">
        <f t="shared" si="54"/>
        <v>239.63300000000001</v>
      </c>
      <c r="F92" s="127">
        <f t="shared" si="51"/>
        <v>-0.1</v>
      </c>
      <c r="G92" s="128">
        <v>7</v>
      </c>
      <c r="H92" s="128">
        <v>20</v>
      </c>
      <c r="I92" s="128">
        <f t="shared" si="52"/>
        <v>14</v>
      </c>
      <c r="J92" s="128">
        <f t="shared" si="53"/>
        <v>0</v>
      </c>
      <c r="K92" s="128"/>
      <c r="L92" s="129"/>
    </row>
    <row r="93" spans="1:12" x14ac:dyDescent="0.25">
      <c r="A93" s="130"/>
      <c r="B93" s="979" t="s">
        <v>222</v>
      </c>
      <c r="C93" s="980"/>
      <c r="D93" s="301">
        <v>239.405</v>
      </c>
      <c r="E93" s="301">
        <f t="shared" si="54"/>
        <v>239.30500000000001</v>
      </c>
      <c r="F93" s="127">
        <f t="shared" si="51"/>
        <v>-0.1</v>
      </c>
      <c r="G93" s="128">
        <v>7</v>
      </c>
      <c r="H93" s="128">
        <v>20</v>
      </c>
      <c r="I93" s="128">
        <f t="shared" si="52"/>
        <v>14</v>
      </c>
      <c r="J93" s="128">
        <f t="shared" si="53"/>
        <v>0</v>
      </c>
      <c r="K93" s="128"/>
      <c r="L93" s="129"/>
    </row>
    <row r="94" spans="1:12" x14ac:dyDescent="0.25">
      <c r="A94" s="130"/>
      <c r="B94" s="979" t="s">
        <v>223</v>
      </c>
      <c r="C94" s="980"/>
      <c r="D94" s="301">
        <v>239.45400000000001</v>
      </c>
      <c r="E94" s="301">
        <f t="shared" si="54"/>
        <v>239.35400000000001</v>
      </c>
      <c r="F94" s="127">
        <f t="shared" ref="F94:F95" si="55">E94-D94</f>
        <v>-0.1</v>
      </c>
      <c r="G94" s="128">
        <v>7</v>
      </c>
      <c r="H94" s="128">
        <v>20</v>
      </c>
      <c r="I94" s="128">
        <f t="shared" ref="I94:I95" si="56">IF(F94&gt;0,0,(F94*G94*H94)*-1)</f>
        <v>14</v>
      </c>
      <c r="J94" s="128">
        <f t="shared" ref="J94:J95" si="57">IF(F94&gt;0,F94*G94*H94,0)</f>
        <v>0</v>
      </c>
      <c r="K94" s="128"/>
      <c r="L94" s="129"/>
    </row>
    <row r="95" spans="1:12" x14ac:dyDescent="0.25">
      <c r="A95" s="130"/>
      <c r="B95" s="979" t="s">
        <v>224</v>
      </c>
      <c r="C95" s="980"/>
      <c r="D95" s="301">
        <v>239.65100000000001</v>
      </c>
      <c r="E95" s="301">
        <f t="shared" si="54"/>
        <v>239.55099999999999</v>
      </c>
      <c r="F95" s="127">
        <f t="shared" si="55"/>
        <v>-0.1</v>
      </c>
      <c r="G95" s="128">
        <v>7</v>
      </c>
      <c r="H95" s="128">
        <v>20</v>
      </c>
      <c r="I95" s="128">
        <f t="shared" si="56"/>
        <v>14</v>
      </c>
      <c r="J95" s="128">
        <f t="shared" si="57"/>
        <v>0</v>
      </c>
      <c r="K95" s="128"/>
      <c r="L95" s="129"/>
    </row>
    <row r="96" spans="1:12" x14ac:dyDescent="0.25">
      <c r="A96" s="130"/>
      <c r="B96" s="979" t="s">
        <v>225</v>
      </c>
      <c r="C96" s="980"/>
      <c r="D96" s="301">
        <v>239.81899999999999</v>
      </c>
      <c r="E96" s="301">
        <f t="shared" si="54"/>
        <v>239.71899999999999</v>
      </c>
      <c r="F96" s="127">
        <f t="shared" ref="F96:F106" si="58">E96-D96</f>
        <v>-0.1</v>
      </c>
      <c r="G96" s="128">
        <v>7</v>
      </c>
      <c r="H96" s="128">
        <v>20</v>
      </c>
      <c r="I96" s="128">
        <f t="shared" ref="I96:I106" si="59">IF(F96&gt;0,0,(F96*G96*H96)*-1)</f>
        <v>14</v>
      </c>
      <c r="J96" s="128">
        <f t="shared" ref="J96:J106" si="60">IF(F96&gt;0,F96*G96*H96,0)</f>
        <v>0</v>
      </c>
      <c r="K96" s="128"/>
      <c r="L96" s="129"/>
    </row>
    <row r="97" spans="1:12" x14ac:dyDescent="0.25">
      <c r="A97" s="130"/>
      <c r="B97" s="979" t="s">
        <v>226</v>
      </c>
      <c r="C97" s="980"/>
      <c r="D97" s="301">
        <v>239.102</v>
      </c>
      <c r="E97" s="301">
        <f t="shared" si="54"/>
        <v>239.00200000000001</v>
      </c>
      <c r="F97" s="127">
        <f t="shared" si="58"/>
        <v>-0.1</v>
      </c>
      <c r="G97" s="128">
        <v>7</v>
      </c>
      <c r="H97" s="128">
        <v>20</v>
      </c>
      <c r="I97" s="128">
        <f t="shared" si="59"/>
        <v>14</v>
      </c>
      <c r="J97" s="128">
        <f t="shared" si="60"/>
        <v>0</v>
      </c>
      <c r="K97" s="128"/>
      <c r="L97" s="129"/>
    </row>
    <row r="98" spans="1:12" x14ac:dyDescent="0.25">
      <c r="A98" s="130"/>
      <c r="B98" s="979" t="s">
        <v>227</v>
      </c>
      <c r="C98" s="980"/>
      <c r="D98" s="301">
        <v>240.52799999999999</v>
      </c>
      <c r="E98" s="301">
        <f t="shared" si="54"/>
        <v>240.428</v>
      </c>
      <c r="F98" s="127">
        <f t="shared" si="58"/>
        <v>-0.1</v>
      </c>
      <c r="G98" s="128">
        <v>7</v>
      </c>
      <c r="H98" s="128">
        <v>20</v>
      </c>
      <c r="I98" s="128">
        <f t="shared" si="59"/>
        <v>14</v>
      </c>
      <c r="J98" s="128">
        <f t="shared" si="60"/>
        <v>0</v>
      </c>
      <c r="K98" s="128"/>
      <c r="L98" s="129"/>
    </row>
    <row r="99" spans="1:12" x14ac:dyDescent="0.25">
      <c r="A99" s="130"/>
      <c r="B99" s="979" t="s">
        <v>228</v>
      </c>
      <c r="C99" s="980"/>
      <c r="D99" s="301">
        <v>124.57599999999999</v>
      </c>
      <c r="E99" s="301">
        <f t="shared" si="54"/>
        <v>124.476</v>
      </c>
      <c r="F99" s="127">
        <f t="shared" si="58"/>
        <v>-0.1</v>
      </c>
      <c r="G99" s="128">
        <v>7</v>
      </c>
      <c r="H99" s="128">
        <v>20</v>
      </c>
      <c r="I99" s="128">
        <f t="shared" si="59"/>
        <v>14</v>
      </c>
      <c r="J99" s="128">
        <f t="shared" si="60"/>
        <v>0</v>
      </c>
      <c r="K99" s="128"/>
      <c r="L99" s="129"/>
    </row>
    <row r="100" spans="1:12" x14ac:dyDescent="0.25">
      <c r="A100" s="130"/>
      <c r="B100" s="979" t="s">
        <v>229</v>
      </c>
      <c r="C100" s="980"/>
      <c r="D100" s="301">
        <v>241.65100000000001</v>
      </c>
      <c r="E100" s="301">
        <f t="shared" si="54"/>
        <v>241.55099999999999</v>
      </c>
      <c r="F100" s="127">
        <f t="shared" si="58"/>
        <v>-0.1</v>
      </c>
      <c r="G100" s="128">
        <v>7</v>
      </c>
      <c r="H100" s="128">
        <v>20</v>
      </c>
      <c r="I100" s="128">
        <f t="shared" si="59"/>
        <v>14</v>
      </c>
      <c r="J100" s="128">
        <f t="shared" si="60"/>
        <v>0</v>
      </c>
      <c r="K100" s="128"/>
      <c r="L100" s="129"/>
    </row>
    <row r="101" spans="1:12" x14ac:dyDescent="0.25">
      <c r="A101" s="130"/>
      <c r="B101" s="979" t="s">
        <v>230</v>
      </c>
      <c r="C101" s="980"/>
      <c r="D101" s="301">
        <v>241.84100000000001</v>
      </c>
      <c r="E101" s="301">
        <f t="shared" si="54"/>
        <v>241.74100000000001</v>
      </c>
      <c r="F101" s="127">
        <f t="shared" si="58"/>
        <v>-0.1</v>
      </c>
      <c r="G101" s="128">
        <v>7</v>
      </c>
      <c r="H101" s="128">
        <v>20</v>
      </c>
      <c r="I101" s="128">
        <f t="shared" si="59"/>
        <v>14</v>
      </c>
      <c r="J101" s="128">
        <f t="shared" si="60"/>
        <v>0</v>
      </c>
      <c r="K101" s="128"/>
      <c r="L101" s="129"/>
    </row>
    <row r="102" spans="1:12" ht="16.899999999999999" customHeight="1" x14ac:dyDescent="0.25">
      <c r="A102" s="130"/>
      <c r="B102" s="979" t="s">
        <v>231</v>
      </c>
      <c r="C102" s="980"/>
      <c r="D102" s="301">
        <v>242.17699999999999</v>
      </c>
      <c r="E102" s="301">
        <f t="shared" si="54"/>
        <v>242.077</v>
      </c>
      <c r="F102" s="127">
        <f t="shared" si="58"/>
        <v>-0.1</v>
      </c>
      <c r="G102" s="128">
        <v>7</v>
      </c>
      <c r="H102" s="128">
        <v>20</v>
      </c>
      <c r="I102" s="128">
        <f t="shared" si="59"/>
        <v>14</v>
      </c>
      <c r="J102" s="128">
        <f t="shared" si="60"/>
        <v>0</v>
      </c>
      <c r="K102" s="128"/>
      <c r="L102" s="129"/>
    </row>
    <row r="103" spans="1:12" x14ac:dyDescent="0.25">
      <c r="A103" s="130"/>
      <c r="B103" s="979" t="s">
        <v>232</v>
      </c>
      <c r="C103" s="980"/>
      <c r="D103" s="301">
        <v>242.47900000000001</v>
      </c>
      <c r="E103" s="301">
        <f t="shared" si="54"/>
        <v>242.37899999999999</v>
      </c>
      <c r="F103" s="127">
        <f t="shared" si="58"/>
        <v>-0.1</v>
      </c>
      <c r="G103" s="128">
        <v>7</v>
      </c>
      <c r="H103" s="128">
        <v>20</v>
      </c>
      <c r="I103" s="128">
        <f t="shared" si="59"/>
        <v>14</v>
      </c>
      <c r="J103" s="128">
        <f t="shared" si="60"/>
        <v>0</v>
      </c>
      <c r="K103" s="128"/>
      <c r="L103" s="129"/>
    </row>
    <row r="104" spans="1:12" x14ac:dyDescent="0.25">
      <c r="A104" s="130"/>
      <c r="B104" s="979" t="s">
        <v>233</v>
      </c>
      <c r="C104" s="980"/>
      <c r="D104" s="301">
        <v>242.55199999999999</v>
      </c>
      <c r="E104" s="301">
        <f t="shared" si="54"/>
        <v>242.452</v>
      </c>
      <c r="F104" s="127">
        <f t="shared" si="58"/>
        <v>-0.1</v>
      </c>
      <c r="G104" s="128">
        <v>7</v>
      </c>
      <c r="H104" s="128">
        <v>20</v>
      </c>
      <c r="I104" s="128">
        <f t="shared" si="59"/>
        <v>14</v>
      </c>
      <c r="J104" s="128">
        <f t="shared" si="60"/>
        <v>0</v>
      </c>
      <c r="K104" s="128"/>
      <c r="L104" s="129"/>
    </row>
    <row r="105" spans="1:12" x14ac:dyDescent="0.25">
      <c r="A105" s="130"/>
      <c r="B105" s="979" t="s">
        <v>234</v>
      </c>
      <c r="C105" s="980"/>
      <c r="D105" s="301">
        <v>242.84700000000001</v>
      </c>
      <c r="E105" s="301">
        <f t="shared" si="54"/>
        <v>242.74700000000001</v>
      </c>
      <c r="F105" s="127">
        <f t="shared" si="58"/>
        <v>-0.1</v>
      </c>
      <c r="G105" s="128">
        <v>7</v>
      </c>
      <c r="H105" s="128">
        <v>20</v>
      </c>
      <c r="I105" s="128">
        <f t="shared" si="59"/>
        <v>14</v>
      </c>
      <c r="J105" s="128">
        <f t="shared" si="60"/>
        <v>0</v>
      </c>
      <c r="K105" s="128"/>
      <c r="L105" s="129"/>
    </row>
    <row r="106" spans="1:12" x14ac:dyDescent="0.25">
      <c r="A106" s="130"/>
      <c r="B106" s="979" t="s">
        <v>485</v>
      </c>
      <c r="C106" s="980"/>
      <c r="D106" s="301">
        <v>242.9</v>
      </c>
      <c r="E106" s="301">
        <f t="shared" si="54"/>
        <v>242.8</v>
      </c>
      <c r="F106" s="127">
        <f t="shared" si="58"/>
        <v>-0.1</v>
      </c>
      <c r="G106" s="128">
        <v>7</v>
      </c>
      <c r="H106" s="128">
        <v>4.5199999999999996</v>
      </c>
      <c r="I106" s="128">
        <f t="shared" si="59"/>
        <v>3.16</v>
      </c>
      <c r="J106" s="128">
        <f t="shared" si="60"/>
        <v>0</v>
      </c>
      <c r="K106" s="128"/>
      <c r="L106" s="129"/>
    </row>
    <row r="107" spans="1:12" x14ac:dyDescent="0.25">
      <c r="A107" s="123"/>
      <c r="B107" s="184"/>
      <c r="C107" s="185"/>
      <c r="D107" s="186"/>
      <c r="E107" s="182"/>
      <c r="F107" s="158"/>
      <c r="G107" s="128"/>
      <c r="H107" s="188">
        <f>SUM(H88:H106)</f>
        <v>344.52</v>
      </c>
      <c r="I107" s="188">
        <f>SUM(I88:I106)</f>
        <v>241.16</v>
      </c>
      <c r="J107" s="188">
        <f>SUM(J88:J106)</f>
        <v>0</v>
      </c>
      <c r="K107" s="166"/>
      <c r="L107" s="193"/>
    </row>
    <row r="108" spans="1:12" ht="14.45" customHeight="1" x14ac:dyDescent="0.25">
      <c r="A108" s="175" t="s">
        <v>123</v>
      </c>
      <c r="B108" s="961" t="s">
        <v>454</v>
      </c>
      <c r="C108" s="962"/>
      <c r="D108" s="176"/>
      <c r="E108" s="177"/>
      <c r="F108" s="178"/>
      <c r="G108" s="177"/>
      <c r="H108" s="177"/>
      <c r="I108" s="179">
        <f>I116</f>
        <v>71.459999999999994</v>
      </c>
      <c r="J108" s="180">
        <f>J116</f>
        <v>0</v>
      </c>
      <c r="K108" s="148">
        <f>I108</f>
        <v>71.459999999999994</v>
      </c>
      <c r="L108" s="149"/>
    </row>
    <row r="109" spans="1:12" x14ac:dyDescent="0.25">
      <c r="A109" s="123"/>
      <c r="B109" s="977" t="s">
        <v>217</v>
      </c>
      <c r="C109" s="978"/>
      <c r="D109" s="126">
        <v>241.761</v>
      </c>
      <c r="E109" s="126">
        <f>D109-0.1</f>
        <v>241.661</v>
      </c>
      <c r="F109" s="127">
        <f t="shared" ref="F109:F111" si="61">E109-D109</f>
        <v>-0.1</v>
      </c>
      <c r="G109" s="128">
        <v>7</v>
      </c>
      <c r="H109" s="128">
        <v>0</v>
      </c>
      <c r="I109" s="128">
        <f t="shared" ref="I109:I111" si="62">IF(F109&gt;0,0,(F109*G109*H109)*-1)</f>
        <v>0</v>
      </c>
      <c r="J109" s="128">
        <f t="shared" ref="J109:J111" si="63">IF(F109&gt;0,F109*G109*H109,0)</f>
        <v>0</v>
      </c>
      <c r="K109" s="128"/>
      <c r="L109" s="129"/>
    </row>
    <row r="110" spans="1:12" x14ac:dyDescent="0.25">
      <c r="A110" s="130"/>
      <c r="B110" s="975" t="s">
        <v>218</v>
      </c>
      <c r="C110" s="976"/>
      <c r="D110" s="126">
        <v>241.804</v>
      </c>
      <c r="E110" s="126">
        <f t="shared" ref="E110:E115" si="64">D110-0.1</f>
        <v>241.70400000000001</v>
      </c>
      <c r="F110" s="127">
        <f t="shared" si="61"/>
        <v>-0.1</v>
      </c>
      <c r="G110" s="128">
        <v>7</v>
      </c>
      <c r="H110" s="128">
        <v>20</v>
      </c>
      <c r="I110" s="128">
        <f t="shared" si="62"/>
        <v>14</v>
      </c>
      <c r="J110" s="128">
        <f t="shared" si="63"/>
        <v>0</v>
      </c>
      <c r="K110" s="128"/>
      <c r="L110" s="129"/>
    </row>
    <row r="111" spans="1:12" x14ac:dyDescent="0.25">
      <c r="A111" s="130"/>
      <c r="B111" s="975" t="s">
        <v>219</v>
      </c>
      <c r="C111" s="976"/>
      <c r="D111" s="126">
        <v>241.928</v>
      </c>
      <c r="E111" s="126">
        <f t="shared" si="64"/>
        <v>241.828</v>
      </c>
      <c r="F111" s="127">
        <f t="shared" si="61"/>
        <v>-0.1</v>
      </c>
      <c r="G111" s="128">
        <v>7</v>
      </c>
      <c r="H111" s="128">
        <v>20</v>
      </c>
      <c r="I111" s="128">
        <f t="shared" si="62"/>
        <v>14</v>
      </c>
      <c r="J111" s="128">
        <f t="shared" si="63"/>
        <v>0</v>
      </c>
      <c r="K111" s="128"/>
      <c r="L111" s="129"/>
    </row>
    <row r="112" spans="1:12" x14ac:dyDescent="0.25">
      <c r="A112" s="130"/>
      <c r="B112" s="975" t="s">
        <v>220</v>
      </c>
      <c r="C112" s="976"/>
      <c r="D112" s="126">
        <v>241.929</v>
      </c>
      <c r="E112" s="126">
        <f t="shared" si="64"/>
        <v>241.82900000000001</v>
      </c>
      <c r="F112" s="127">
        <f t="shared" ref="F112:F113" si="65">E112-D112</f>
        <v>-0.1</v>
      </c>
      <c r="G112" s="128">
        <v>7</v>
      </c>
      <c r="H112" s="128">
        <v>20</v>
      </c>
      <c r="I112" s="128">
        <f t="shared" ref="I112:I113" si="66">IF(F112&gt;0,0,(F112*G112*H112)*-1)</f>
        <v>14</v>
      </c>
      <c r="J112" s="128">
        <f t="shared" ref="J112:J113" si="67">IF(F112&gt;0,F112*G112*H112,0)</f>
        <v>0</v>
      </c>
      <c r="K112" s="128"/>
      <c r="L112" s="129"/>
    </row>
    <row r="113" spans="1:12" x14ac:dyDescent="0.25">
      <c r="A113" s="130"/>
      <c r="B113" s="975" t="s">
        <v>221</v>
      </c>
      <c r="C113" s="976"/>
      <c r="D113" s="126">
        <v>241.756</v>
      </c>
      <c r="E113" s="126">
        <f t="shared" si="64"/>
        <v>241.65600000000001</v>
      </c>
      <c r="F113" s="127">
        <f t="shared" si="65"/>
        <v>-0.1</v>
      </c>
      <c r="G113" s="128">
        <v>7</v>
      </c>
      <c r="H113" s="128">
        <v>20</v>
      </c>
      <c r="I113" s="128">
        <f t="shared" si="66"/>
        <v>14</v>
      </c>
      <c r="J113" s="128">
        <f t="shared" si="67"/>
        <v>0</v>
      </c>
      <c r="K113" s="128"/>
      <c r="L113" s="129"/>
    </row>
    <row r="114" spans="1:12" x14ac:dyDescent="0.25">
      <c r="A114" s="130"/>
      <c r="B114" s="975" t="s">
        <v>222</v>
      </c>
      <c r="C114" s="976"/>
      <c r="D114" s="126">
        <v>241.60499999999999</v>
      </c>
      <c r="E114" s="126">
        <f t="shared" si="64"/>
        <v>241.505</v>
      </c>
      <c r="F114" s="127">
        <f t="shared" ref="F114:F115" si="68">E114-D114</f>
        <v>-0.1</v>
      </c>
      <c r="G114" s="128">
        <v>7</v>
      </c>
      <c r="H114" s="128">
        <v>20</v>
      </c>
      <c r="I114" s="128">
        <f t="shared" ref="I114:I115" si="69">IF(F114&gt;0,0,(F114*G114*H114)*-1)</f>
        <v>14</v>
      </c>
      <c r="J114" s="128">
        <f t="shared" ref="J114:J115" si="70">IF(F114&gt;0,F114*G114*H114,0)</f>
        <v>0</v>
      </c>
      <c r="K114" s="128"/>
      <c r="L114" s="129"/>
    </row>
    <row r="115" spans="1:12" x14ac:dyDescent="0.25">
      <c r="A115" s="130"/>
      <c r="B115" s="975" t="s">
        <v>486</v>
      </c>
      <c r="C115" s="976"/>
      <c r="D115" s="126">
        <v>241.28</v>
      </c>
      <c r="E115" s="126">
        <f t="shared" si="64"/>
        <v>241.18</v>
      </c>
      <c r="F115" s="127">
        <f t="shared" si="68"/>
        <v>-0.1</v>
      </c>
      <c r="G115" s="128">
        <v>7</v>
      </c>
      <c r="H115" s="128">
        <v>2.08</v>
      </c>
      <c r="I115" s="128">
        <f t="shared" si="69"/>
        <v>1.46</v>
      </c>
      <c r="J115" s="128">
        <f t="shared" si="70"/>
        <v>0</v>
      </c>
      <c r="K115" s="128"/>
      <c r="L115" s="129"/>
    </row>
    <row r="116" spans="1:12" x14ac:dyDescent="0.25">
      <c r="A116" s="123"/>
      <c r="B116" s="191"/>
      <c r="C116" s="125"/>
      <c r="D116" s="192"/>
      <c r="E116" s="128"/>
      <c r="F116" s="158"/>
      <c r="G116" s="128"/>
      <c r="H116" s="188">
        <f>SUM(H109:H115)</f>
        <v>102.08</v>
      </c>
      <c r="I116" s="188">
        <f>SUM(I109:I115)</f>
        <v>71.459999999999994</v>
      </c>
      <c r="J116" s="188">
        <f>SUM(J109:J115)</f>
        <v>0</v>
      </c>
      <c r="K116" s="166"/>
      <c r="L116" s="193"/>
    </row>
    <row r="117" spans="1:12" x14ac:dyDescent="0.25">
      <c r="A117" s="175" t="s">
        <v>133</v>
      </c>
      <c r="B117" s="961" t="s">
        <v>487</v>
      </c>
      <c r="C117" s="962"/>
      <c r="D117" s="176"/>
      <c r="E117" s="177"/>
      <c r="F117" s="178"/>
      <c r="G117" s="177"/>
      <c r="H117" s="177"/>
      <c r="I117" s="179">
        <f>I133</f>
        <v>160.35</v>
      </c>
      <c r="J117" s="180">
        <f>J133</f>
        <v>0</v>
      </c>
      <c r="K117" s="148">
        <f>I117</f>
        <v>160.35</v>
      </c>
      <c r="L117" s="149"/>
    </row>
    <row r="118" spans="1:12" x14ac:dyDescent="0.25">
      <c r="A118" s="123"/>
      <c r="B118" s="977" t="s">
        <v>217</v>
      </c>
      <c r="C118" s="978"/>
      <c r="D118" s="126">
        <v>238.453</v>
      </c>
      <c r="E118" s="126">
        <f>D118-0.1</f>
        <v>238.35300000000001</v>
      </c>
      <c r="F118" s="127">
        <f t="shared" ref="F118:F121" si="71">E118-D118</f>
        <v>-0.1</v>
      </c>
      <c r="G118" s="128">
        <v>6</v>
      </c>
      <c r="H118" s="128">
        <v>0</v>
      </c>
      <c r="I118" s="128">
        <f t="shared" ref="I118:I121" si="72">IF(F118&gt;0,0,(F118*G118*H118)*-1)</f>
        <v>0</v>
      </c>
      <c r="J118" s="128">
        <f t="shared" ref="J118:J121" si="73">IF(F118&gt;0,F118*G118*H118,0)</f>
        <v>0</v>
      </c>
      <c r="K118" s="128"/>
      <c r="L118" s="129"/>
    </row>
    <row r="119" spans="1:12" x14ac:dyDescent="0.25">
      <c r="A119" s="130"/>
      <c r="B119" s="975" t="s">
        <v>218</v>
      </c>
      <c r="C119" s="976"/>
      <c r="D119" s="126">
        <v>238.36</v>
      </c>
      <c r="E119" s="126">
        <f t="shared" ref="E119:E132" si="74">D119-0.1</f>
        <v>238.26</v>
      </c>
      <c r="F119" s="127">
        <f t="shared" si="71"/>
        <v>-0.1</v>
      </c>
      <c r="G119" s="128">
        <v>6</v>
      </c>
      <c r="H119" s="128">
        <v>20</v>
      </c>
      <c r="I119" s="128">
        <f t="shared" si="72"/>
        <v>12</v>
      </c>
      <c r="J119" s="128">
        <f t="shared" si="73"/>
        <v>0</v>
      </c>
      <c r="K119" s="128"/>
      <c r="L119" s="129"/>
    </row>
    <row r="120" spans="1:12" x14ac:dyDescent="0.25">
      <c r="A120" s="130"/>
      <c r="B120" s="975" t="s">
        <v>219</v>
      </c>
      <c r="C120" s="976"/>
      <c r="D120" s="126">
        <v>238.297</v>
      </c>
      <c r="E120" s="126">
        <f t="shared" si="74"/>
        <v>238.197</v>
      </c>
      <c r="F120" s="127">
        <f t="shared" si="71"/>
        <v>-0.1</v>
      </c>
      <c r="G120" s="128">
        <v>6</v>
      </c>
      <c r="H120" s="128">
        <v>20</v>
      </c>
      <c r="I120" s="128">
        <f t="shared" si="72"/>
        <v>12</v>
      </c>
      <c r="J120" s="128">
        <f t="shared" si="73"/>
        <v>0</v>
      </c>
      <c r="K120" s="128"/>
      <c r="L120" s="129"/>
    </row>
    <row r="121" spans="1:12" x14ac:dyDescent="0.25">
      <c r="A121" s="130"/>
      <c r="B121" s="975" t="s">
        <v>220</v>
      </c>
      <c r="C121" s="976"/>
      <c r="D121" s="126">
        <v>238.15</v>
      </c>
      <c r="E121" s="126">
        <f t="shared" si="74"/>
        <v>238.05</v>
      </c>
      <c r="F121" s="127">
        <f t="shared" si="71"/>
        <v>-0.1</v>
      </c>
      <c r="G121" s="128">
        <v>6</v>
      </c>
      <c r="H121" s="128">
        <v>20</v>
      </c>
      <c r="I121" s="128">
        <f t="shared" si="72"/>
        <v>12</v>
      </c>
      <c r="J121" s="128">
        <f t="shared" si="73"/>
        <v>0</v>
      </c>
      <c r="K121" s="128"/>
      <c r="L121" s="129"/>
    </row>
    <row r="122" spans="1:12" x14ac:dyDescent="0.25">
      <c r="A122" s="130"/>
      <c r="B122" s="975" t="s">
        <v>221</v>
      </c>
      <c r="C122" s="976"/>
      <c r="D122" s="126">
        <v>238.11099999999999</v>
      </c>
      <c r="E122" s="126">
        <f t="shared" si="74"/>
        <v>238.011</v>
      </c>
      <c r="F122" s="127">
        <f t="shared" ref="F122:F132" si="75">E122-D122</f>
        <v>-0.1</v>
      </c>
      <c r="G122" s="128">
        <v>6</v>
      </c>
      <c r="H122" s="128">
        <v>20</v>
      </c>
      <c r="I122" s="128">
        <f t="shared" ref="I122:I132" si="76">IF(F122&gt;0,0,(F122*G122*H122)*-1)</f>
        <v>12</v>
      </c>
      <c r="J122" s="128">
        <f t="shared" ref="J122:J132" si="77">IF(F122&gt;0,F122*G122*H122,0)</f>
        <v>0</v>
      </c>
      <c r="K122" s="166"/>
      <c r="L122" s="129"/>
    </row>
    <row r="123" spans="1:12" x14ac:dyDescent="0.25">
      <c r="A123" s="130"/>
      <c r="B123" s="975" t="s">
        <v>222</v>
      </c>
      <c r="C123" s="976"/>
      <c r="D123" s="126">
        <v>238.185</v>
      </c>
      <c r="E123" s="126">
        <f t="shared" si="74"/>
        <v>238.08500000000001</v>
      </c>
      <c r="F123" s="127">
        <f t="shared" si="75"/>
        <v>-0.1</v>
      </c>
      <c r="G123" s="128">
        <v>6</v>
      </c>
      <c r="H123" s="128">
        <v>20</v>
      </c>
      <c r="I123" s="128">
        <f t="shared" si="76"/>
        <v>12</v>
      </c>
      <c r="J123" s="128">
        <f t="shared" si="77"/>
        <v>0</v>
      </c>
      <c r="K123" s="166"/>
      <c r="L123" s="129"/>
    </row>
    <row r="124" spans="1:12" x14ac:dyDescent="0.25">
      <c r="A124" s="130"/>
      <c r="B124" s="975" t="s">
        <v>223</v>
      </c>
      <c r="C124" s="976"/>
      <c r="D124" s="126">
        <v>238.255</v>
      </c>
      <c r="E124" s="126">
        <f t="shared" si="74"/>
        <v>238.155</v>
      </c>
      <c r="F124" s="127">
        <f t="shared" si="75"/>
        <v>-0.1</v>
      </c>
      <c r="G124" s="128">
        <v>6</v>
      </c>
      <c r="H124" s="128">
        <v>20</v>
      </c>
      <c r="I124" s="128">
        <f t="shared" si="76"/>
        <v>12</v>
      </c>
      <c r="J124" s="128">
        <f t="shared" si="77"/>
        <v>0</v>
      </c>
      <c r="K124" s="166"/>
      <c r="L124" s="129"/>
    </row>
    <row r="125" spans="1:12" x14ac:dyDescent="0.25">
      <c r="A125" s="130"/>
      <c r="B125" s="975" t="s">
        <v>224</v>
      </c>
      <c r="C125" s="976"/>
      <c r="D125" s="126">
        <v>239.036</v>
      </c>
      <c r="E125" s="126">
        <f t="shared" si="74"/>
        <v>238.93600000000001</v>
      </c>
      <c r="F125" s="127">
        <f t="shared" si="75"/>
        <v>-0.1</v>
      </c>
      <c r="G125" s="128">
        <v>6</v>
      </c>
      <c r="H125" s="128">
        <v>20</v>
      </c>
      <c r="I125" s="128">
        <f t="shared" si="76"/>
        <v>12</v>
      </c>
      <c r="J125" s="128">
        <f t="shared" si="77"/>
        <v>0</v>
      </c>
      <c r="K125" s="166"/>
      <c r="L125" s="129"/>
    </row>
    <row r="126" spans="1:12" x14ac:dyDescent="0.25">
      <c r="A126" s="130"/>
      <c r="B126" s="975" t="s">
        <v>225</v>
      </c>
      <c r="C126" s="976"/>
      <c r="D126" s="126">
        <v>239.643</v>
      </c>
      <c r="E126" s="126">
        <f t="shared" si="74"/>
        <v>239.54300000000001</v>
      </c>
      <c r="F126" s="127">
        <f t="shared" si="75"/>
        <v>-0.1</v>
      </c>
      <c r="G126" s="128">
        <v>6</v>
      </c>
      <c r="H126" s="128">
        <v>20</v>
      </c>
      <c r="I126" s="128">
        <f t="shared" si="76"/>
        <v>12</v>
      </c>
      <c r="J126" s="128">
        <f t="shared" si="77"/>
        <v>0</v>
      </c>
      <c r="K126" s="166"/>
      <c r="L126" s="129"/>
    </row>
    <row r="127" spans="1:12" x14ac:dyDescent="0.25">
      <c r="A127" s="130"/>
      <c r="B127" s="975" t="s">
        <v>226</v>
      </c>
      <c r="C127" s="976"/>
      <c r="D127" s="126">
        <v>240.256</v>
      </c>
      <c r="E127" s="126">
        <f t="shared" si="74"/>
        <v>240.15600000000001</v>
      </c>
      <c r="F127" s="127">
        <f t="shared" si="75"/>
        <v>-0.1</v>
      </c>
      <c r="G127" s="128">
        <v>6</v>
      </c>
      <c r="H127" s="128">
        <v>20</v>
      </c>
      <c r="I127" s="128">
        <f t="shared" si="76"/>
        <v>12</v>
      </c>
      <c r="J127" s="128">
        <f t="shared" si="77"/>
        <v>0</v>
      </c>
      <c r="K127" s="166"/>
      <c r="L127" s="129"/>
    </row>
    <row r="128" spans="1:12" x14ac:dyDescent="0.25">
      <c r="A128" s="130"/>
      <c r="B128" s="975" t="s">
        <v>227</v>
      </c>
      <c r="C128" s="976"/>
      <c r="D128" s="126">
        <v>240.714</v>
      </c>
      <c r="E128" s="126">
        <f t="shared" si="74"/>
        <v>240.614</v>
      </c>
      <c r="F128" s="127">
        <f t="shared" si="75"/>
        <v>-0.1</v>
      </c>
      <c r="G128" s="128">
        <v>6</v>
      </c>
      <c r="H128" s="128">
        <v>20</v>
      </c>
      <c r="I128" s="128">
        <f t="shared" si="76"/>
        <v>12</v>
      </c>
      <c r="J128" s="128">
        <f t="shared" si="77"/>
        <v>0</v>
      </c>
      <c r="K128" s="166"/>
      <c r="L128" s="129"/>
    </row>
    <row r="129" spans="1:12" x14ac:dyDescent="0.25">
      <c r="A129" s="130"/>
      <c r="B129" s="975" t="s">
        <v>228</v>
      </c>
      <c r="C129" s="976"/>
      <c r="D129" s="126">
        <v>241.11099999999999</v>
      </c>
      <c r="E129" s="126">
        <f t="shared" si="74"/>
        <v>241.011</v>
      </c>
      <c r="F129" s="127">
        <f t="shared" si="75"/>
        <v>-0.1</v>
      </c>
      <c r="G129" s="128">
        <v>6</v>
      </c>
      <c r="H129" s="128">
        <v>20</v>
      </c>
      <c r="I129" s="128">
        <f t="shared" si="76"/>
        <v>12</v>
      </c>
      <c r="J129" s="128">
        <f t="shared" si="77"/>
        <v>0</v>
      </c>
      <c r="K129" s="166"/>
      <c r="L129" s="129"/>
    </row>
    <row r="130" spans="1:12" x14ac:dyDescent="0.25">
      <c r="A130" s="130"/>
      <c r="B130" s="975" t="s">
        <v>229</v>
      </c>
      <c r="C130" s="976"/>
      <c r="D130" s="126">
        <v>241.494</v>
      </c>
      <c r="E130" s="126">
        <f t="shared" si="74"/>
        <v>241.39400000000001</v>
      </c>
      <c r="F130" s="127">
        <f t="shared" si="75"/>
        <v>-0.1</v>
      </c>
      <c r="G130" s="128">
        <v>6</v>
      </c>
      <c r="H130" s="128">
        <v>20</v>
      </c>
      <c r="I130" s="128">
        <f t="shared" si="76"/>
        <v>12</v>
      </c>
      <c r="J130" s="128">
        <f t="shared" si="77"/>
        <v>0</v>
      </c>
      <c r="K130" s="166"/>
      <c r="L130" s="129"/>
    </row>
    <row r="131" spans="1:12" x14ac:dyDescent="0.25">
      <c r="A131" s="130"/>
      <c r="B131" s="975" t="s">
        <v>230</v>
      </c>
      <c r="C131" s="976"/>
      <c r="D131" s="126">
        <v>241.71299999999999</v>
      </c>
      <c r="E131" s="126">
        <f t="shared" si="74"/>
        <v>241.613</v>
      </c>
      <c r="F131" s="127">
        <f t="shared" si="75"/>
        <v>-0.1</v>
      </c>
      <c r="G131" s="128">
        <v>6</v>
      </c>
      <c r="H131" s="128">
        <v>20</v>
      </c>
      <c r="I131" s="128">
        <f t="shared" si="76"/>
        <v>12</v>
      </c>
      <c r="J131" s="128">
        <f t="shared" si="77"/>
        <v>0</v>
      </c>
      <c r="K131" s="166"/>
      <c r="L131" s="129"/>
    </row>
    <row r="132" spans="1:12" x14ac:dyDescent="0.25">
      <c r="A132" s="130"/>
      <c r="B132" s="975" t="s">
        <v>488</v>
      </c>
      <c r="C132" s="976"/>
      <c r="D132" s="126">
        <v>241.72900000000001</v>
      </c>
      <c r="E132" s="126">
        <f t="shared" si="74"/>
        <v>241.62899999999999</v>
      </c>
      <c r="F132" s="127">
        <f t="shared" si="75"/>
        <v>-0.1</v>
      </c>
      <c r="G132" s="128">
        <v>6</v>
      </c>
      <c r="H132" s="128">
        <v>7.25</v>
      </c>
      <c r="I132" s="128">
        <f t="shared" si="76"/>
        <v>4.3499999999999996</v>
      </c>
      <c r="J132" s="128">
        <f t="shared" si="77"/>
        <v>0</v>
      </c>
      <c r="K132" s="166"/>
      <c r="L132" s="129"/>
    </row>
    <row r="133" spans="1:12" x14ac:dyDescent="0.25">
      <c r="A133" s="123"/>
      <c r="B133" s="191"/>
      <c r="C133" s="125"/>
      <c r="D133" s="192"/>
      <c r="E133" s="128"/>
      <c r="F133" s="158"/>
      <c r="G133" s="128"/>
      <c r="H133" s="188">
        <f>SUM(H118:H132)</f>
        <v>267.25</v>
      </c>
      <c r="I133" s="188">
        <f>SUM(I118:I132)</f>
        <v>160.35</v>
      </c>
      <c r="J133" s="188">
        <f>SUM(J118:J132)</f>
        <v>0</v>
      </c>
      <c r="K133" s="166"/>
      <c r="L133" s="193"/>
    </row>
    <row r="134" spans="1:12" x14ac:dyDescent="0.25">
      <c r="A134" s="175" t="s">
        <v>143</v>
      </c>
      <c r="B134" s="961" t="s">
        <v>489</v>
      </c>
      <c r="C134" s="962"/>
      <c r="D134" s="176"/>
      <c r="E134" s="177"/>
      <c r="F134" s="178"/>
      <c r="G134" s="177"/>
      <c r="H134" s="177"/>
      <c r="I134" s="179">
        <f>I143</f>
        <v>88.87</v>
      </c>
      <c r="J134" s="180">
        <f>J143</f>
        <v>0</v>
      </c>
      <c r="K134" s="148">
        <f>I134</f>
        <v>88.87</v>
      </c>
      <c r="L134" s="149"/>
    </row>
    <row r="135" spans="1:12" x14ac:dyDescent="0.25">
      <c r="A135" s="123"/>
      <c r="B135" s="977" t="s">
        <v>217</v>
      </c>
      <c r="C135" s="978"/>
      <c r="D135" s="126">
        <v>239.965</v>
      </c>
      <c r="E135" s="126">
        <f>D135-0.1</f>
        <v>239.86500000000001</v>
      </c>
      <c r="F135" s="127">
        <f t="shared" ref="F135:F138" si="78">E135-D135</f>
        <v>-0.1</v>
      </c>
      <c r="G135" s="128">
        <v>7</v>
      </c>
      <c r="H135" s="128">
        <v>0</v>
      </c>
      <c r="I135" s="128">
        <f t="shared" ref="I135:I138" si="79">IF(F135&gt;0,0,(F135*G135*H135)*-1)</f>
        <v>0</v>
      </c>
      <c r="J135" s="128">
        <f t="shared" ref="J135:J138" si="80">IF(F135&gt;0,F135*G135*H135,0)</f>
        <v>0</v>
      </c>
      <c r="K135" s="128"/>
      <c r="L135" s="129"/>
    </row>
    <row r="136" spans="1:12" x14ac:dyDescent="0.25">
      <c r="A136" s="130"/>
      <c r="B136" s="975" t="s">
        <v>218</v>
      </c>
      <c r="C136" s="976"/>
      <c r="D136" s="126">
        <v>239.81200000000001</v>
      </c>
      <c r="E136" s="126">
        <f t="shared" ref="E136:E142" si="81">D136-0.1</f>
        <v>239.71199999999999</v>
      </c>
      <c r="F136" s="127">
        <f t="shared" si="78"/>
        <v>-0.1</v>
      </c>
      <c r="G136" s="128">
        <v>7</v>
      </c>
      <c r="H136" s="128">
        <v>20</v>
      </c>
      <c r="I136" s="128">
        <f t="shared" si="79"/>
        <v>14</v>
      </c>
      <c r="J136" s="128">
        <f t="shared" si="80"/>
        <v>0</v>
      </c>
      <c r="K136" s="128"/>
      <c r="L136" s="129"/>
    </row>
    <row r="137" spans="1:12" x14ac:dyDescent="0.25">
      <c r="A137" s="130"/>
      <c r="B137" s="975" t="s">
        <v>219</v>
      </c>
      <c r="C137" s="976"/>
      <c r="D137" s="126">
        <v>239.602</v>
      </c>
      <c r="E137" s="126">
        <f t="shared" si="81"/>
        <v>239.50200000000001</v>
      </c>
      <c r="F137" s="127">
        <f t="shared" si="78"/>
        <v>-0.1</v>
      </c>
      <c r="G137" s="128">
        <v>7</v>
      </c>
      <c r="H137" s="128">
        <v>20</v>
      </c>
      <c r="I137" s="128">
        <f t="shared" si="79"/>
        <v>14</v>
      </c>
      <c r="J137" s="128">
        <f t="shared" si="80"/>
        <v>0</v>
      </c>
      <c r="K137" s="128"/>
      <c r="L137" s="129"/>
    </row>
    <row r="138" spans="1:12" x14ac:dyDescent="0.25">
      <c r="A138" s="130"/>
      <c r="B138" s="975" t="s">
        <v>220</v>
      </c>
      <c r="C138" s="976"/>
      <c r="D138" s="126">
        <v>239.697</v>
      </c>
      <c r="E138" s="126">
        <f t="shared" si="81"/>
        <v>239.59700000000001</v>
      </c>
      <c r="F138" s="127">
        <f t="shared" si="78"/>
        <v>-0.1</v>
      </c>
      <c r="G138" s="128">
        <v>7</v>
      </c>
      <c r="H138" s="128">
        <v>20</v>
      </c>
      <c r="I138" s="128">
        <f t="shared" si="79"/>
        <v>14</v>
      </c>
      <c r="J138" s="128">
        <f t="shared" si="80"/>
        <v>0</v>
      </c>
      <c r="K138" s="128"/>
      <c r="L138" s="129"/>
    </row>
    <row r="139" spans="1:12" x14ac:dyDescent="0.25">
      <c r="A139" s="130"/>
      <c r="B139" s="975" t="s">
        <v>221</v>
      </c>
      <c r="C139" s="976"/>
      <c r="D139" s="126">
        <v>239.80600000000001</v>
      </c>
      <c r="E139" s="126">
        <f t="shared" si="81"/>
        <v>239.70599999999999</v>
      </c>
      <c r="F139" s="127">
        <f t="shared" ref="F139:F142" si="82">E139-D139</f>
        <v>-0.1</v>
      </c>
      <c r="G139" s="128">
        <v>7</v>
      </c>
      <c r="H139" s="128">
        <v>20</v>
      </c>
      <c r="I139" s="128">
        <f t="shared" ref="I139:I142" si="83">IF(F139&gt;0,0,(F139*G139*H139)*-1)</f>
        <v>14</v>
      </c>
      <c r="J139" s="128">
        <f t="shared" ref="J139:J142" si="84">IF(F139&gt;0,F139*G139*H139,0)</f>
        <v>0</v>
      </c>
      <c r="K139" s="128"/>
      <c r="L139" s="129"/>
    </row>
    <row r="140" spans="1:12" x14ac:dyDescent="0.25">
      <c r="A140" s="130"/>
      <c r="B140" s="975" t="s">
        <v>222</v>
      </c>
      <c r="C140" s="976"/>
      <c r="D140" s="126">
        <v>240.65199999999999</v>
      </c>
      <c r="E140" s="126">
        <f t="shared" si="81"/>
        <v>240.55199999999999</v>
      </c>
      <c r="F140" s="127">
        <f t="shared" ref="F140:F141" si="85">E140-D140</f>
        <v>-0.1</v>
      </c>
      <c r="G140" s="128">
        <v>7</v>
      </c>
      <c r="H140" s="128">
        <v>20</v>
      </c>
      <c r="I140" s="128">
        <f t="shared" ref="I140:I141" si="86">IF(F140&gt;0,0,(F140*G140*H140)*-1)</f>
        <v>14</v>
      </c>
      <c r="J140" s="128">
        <f t="shared" ref="J140:J141" si="87">IF(F140&gt;0,F140*G140*H140,0)</f>
        <v>0</v>
      </c>
      <c r="K140" s="128"/>
      <c r="L140" s="129"/>
    </row>
    <row r="141" spans="1:12" x14ac:dyDescent="0.25">
      <c r="A141" s="130"/>
      <c r="B141" s="975" t="s">
        <v>223</v>
      </c>
      <c r="C141" s="976"/>
      <c r="D141" s="126">
        <v>241.31899999999999</v>
      </c>
      <c r="E141" s="126">
        <f t="shared" si="81"/>
        <v>241.21899999999999</v>
      </c>
      <c r="F141" s="127">
        <f t="shared" si="85"/>
        <v>-0.1</v>
      </c>
      <c r="G141" s="128">
        <v>7</v>
      </c>
      <c r="H141" s="128">
        <v>20</v>
      </c>
      <c r="I141" s="128">
        <f t="shared" si="86"/>
        <v>14</v>
      </c>
      <c r="J141" s="128">
        <f t="shared" si="87"/>
        <v>0</v>
      </c>
      <c r="K141" s="128"/>
      <c r="L141" s="129"/>
    </row>
    <row r="142" spans="1:12" x14ac:dyDescent="0.25">
      <c r="A142" s="130"/>
      <c r="B142" s="975" t="s">
        <v>478</v>
      </c>
      <c r="C142" s="976"/>
      <c r="D142" s="126">
        <v>241.31899999999999</v>
      </c>
      <c r="E142" s="126">
        <f t="shared" si="81"/>
        <v>241.21899999999999</v>
      </c>
      <c r="F142" s="127">
        <f t="shared" si="82"/>
        <v>-0.1</v>
      </c>
      <c r="G142" s="128">
        <v>7</v>
      </c>
      <c r="H142" s="128">
        <v>6.95</v>
      </c>
      <c r="I142" s="128">
        <f t="shared" si="83"/>
        <v>4.87</v>
      </c>
      <c r="J142" s="128">
        <f t="shared" si="84"/>
        <v>0</v>
      </c>
      <c r="K142" s="128"/>
      <c r="L142" s="129"/>
    </row>
    <row r="143" spans="1:12" ht="15.75" thickBot="1" x14ac:dyDescent="0.3">
      <c r="A143" s="195"/>
      <c r="B143" s="196"/>
      <c r="C143" s="197"/>
      <c r="D143" s="198"/>
      <c r="E143" s="199"/>
      <c r="F143" s="200"/>
      <c r="G143" s="199"/>
      <c r="H143" s="201">
        <f>SUM(H135:H142)</f>
        <v>126.95</v>
      </c>
      <c r="I143" s="201">
        <f>SUM(I135:I142)</f>
        <v>88.87</v>
      </c>
      <c r="J143" s="201">
        <f>SUM(J135:J138)</f>
        <v>0</v>
      </c>
      <c r="K143" s="202"/>
      <c r="L143" s="203"/>
    </row>
    <row r="144" spans="1:12" x14ac:dyDescent="0.25">
      <c r="A144" s="175" t="s">
        <v>153</v>
      </c>
      <c r="B144" s="961" t="s">
        <v>456</v>
      </c>
      <c r="C144" s="962"/>
      <c r="D144" s="176"/>
      <c r="E144" s="177"/>
      <c r="F144" s="178"/>
      <c r="G144" s="177"/>
      <c r="H144" s="177"/>
      <c r="I144" s="179">
        <f>I171</f>
        <v>293.08999999999997</v>
      </c>
      <c r="J144" s="180">
        <f>J171</f>
        <v>0</v>
      </c>
      <c r="K144" s="148">
        <f>I144</f>
        <v>293.08999999999997</v>
      </c>
      <c r="L144" s="149"/>
    </row>
    <row r="145" spans="1:12" x14ac:dyDescent="0.25">
      <c r="A145" s="123"/>
      <c r="B145" s="977" t="s">
        <v>217</v>
      </c>
      <c r="C145" s="978"/>
      <c r="D145" s="126">
        <v>251.95</v>
      </c>
      <c r="E145" s="126">
        <f>D145-0.1</f>
        <v>251.85</v>
      </c>
      <c r="F145" s="127">
        <f t="shared" ref="F145:F152" si="88">E145-D145</f>
        <v>-0.1</v>
      </c>
      <c r="G145" s="128">
        <v>6</v>
      </c>
      <c r="H145" s="128">
        <v>0</v>
      </c>
      <c r="I145" s="128">
        <f t="shared" ref="I145:I152" si="89">IF(F145&gt;0,0,(F145*G145*H145)*-1)</f>
        <v>0</v>
      </c>
      <c r="J145" s="128">
        <f t="shared" ref="J145:J152" si="90">IF(F145&gt;0,F145*G145*H145,0)</f>
        <v>0</v>
      </c>
      <c r="K145" s="128"/>
      <c r="L145" s="129"/>
    </row>
    <row r="146" spans="1:12" x14ac:dyDescent="0.25">
      <c r="A146" s="130"/>
      <c r="B146" s="975" t="s">
        <v>218</v>
      </c>
      <c r="C146" s="976"/>
      <c r="D146" s="126">
        <v>251.726</v>
      </c>
      <c r="E146" s="126">
        <f t="shared" ref="E146:E170" si="91">D146-0.1</f>
        <v>251.626</v>
      </c>
      <c r="F146" s="127">
        <f t="shared" si="88"/>
        <v>-0.1</v>
      </c>
      <c r="G146" s="128">
        <v>6</v>
      </c>
      <c r="H146" s="128">
        <v>20</v>
      </c>
      <c r="I146" s="128">
        <f t="shared" si="89"/>
        <v>12</v>
      </c>
      <c r="J146" s="128">
        <f t="shared" si="90"/>
        <v>0</v>
      </c>
      <c r="K146" s="128"/>
      <c r="L146" s="129"/>
    </row>
    <row r="147" spans="1:12" x14ac:dyDescent="0.25">
      <c r="A147" s="130"/>
      <c r="B147" s="975" t="s">
        <v>219</v>
      </c>
      <c r="C147" s="976"/>
      <c r="D147" s="126">
        <v>251.64699999999999</v>
      </c>
      <c r="E147" s="126">
        <f t="shared" si="91"/>
        <v>251.547</v>
      </c>
      <c r="F147" s="127">
        <f t="shared" si="88"/>
        <v>-0.1</v>
      </c>
      <c r="G147" s="128">
        <v>6</v>
      </c>
      <c r="H147" s="128">
        <v>20</v>
      </c>
      <c r="I147" s="128">
        <f t="shared" si="89"/>
        <v>12</v>
      </c>
      <c r="J147" s="128">
        <f t="shared" si="90"/>
        <v>0</v>
      </c>
      <c r="K147" s="128"/>
      <c r="L147" s="129"/>
    </row>
    <row r="148" spans="1:12" x14ac:dyDescent="0.25">
      <c r="A148" s="130"/>
      <c r="B148" s="975" t="s">
        <v>220</v>
      </c>
      <c r="C148" s="976"/>
      <c r="D148" s="126">
        <v>251.59200000000001</v>
      </c>
      <c r="E148" s="126">
        <f t="shared" si="91"/>
        <v>251.49199999999999</v>
      </c>
      <c r="F148" s="127">
        <f t="shared" si="88"/>
        <v>-0.1</v>
      </c>
      <c r="G148" s="128">
        <v>6</v>
      </c>
      <c r="H148" s="128">
        <v>20</v>
      </c>
      <c r="I148" s="128">
        <f t="shared" si="89"/>
        <v>12</v>
      </c>
      <c r="J148" s="128">
        <f t="shared" si="90"/>
        <v>0</v>
      </c>
      <c r="K148" s="128"/>
      <c r="L148" s="129"/>
    </row>
    <row r="149" spans="1:12" x14ac:dyDescent="0.25">
      <c r="A149" s="130"/>
      <c r="B149" s="975" t="s">
        <v>221</v>
      </c>
      <c r="C149" s="976"/>
      <c r="D149" s="126">
        <v>251.54499999999999</v>
      </c>
      <c r="E149" s="126">
        <f t="shared" si="91"/>
        <v>251.44499999999999</v>
      </c>
      <c r="F149" s="127">
        <f t="shared" si="88"/>
        <v>-0.1</v>
      </c>
      <c r="G149" s="128">
        <v>6</v>
      </c>
      <c r="H149" s="128">
        <v>20</v>
      </c>
      <c r="I149" s="128">
        <f t="shared" si="89"/>
        <v>12</v>
      </c>
      <c r="J149" s="128">
        <f t="shared" si="90"/>
        <v>0</v>
      </c>
      <c r="K149" s="128"/>
      <c r="L149" s="129"/>
    </row>
    <row r="150" spans="1:12" x14ac:dyDescent="0.25">
      <c r="A150" s="130"/>
      <c r="B150" s="975" t="s">
        <v>222</v>
      </c>
      <c r="C150" s="976"/>
      <c r="D150" s="126">
        <v>251.50899999999999</v>
      </c>
      <c r="E150" s="126">
        <f t="shared" si="91"/>
        <v>251.40899999999999</v>
      </c>
      <c r="F150" s="127">
        <f t="shared" si="88"/>
        <v>-0.1</v>
      </c>
      <c r="G150" s="128">
        <v>6</v>
      </c>
      <c r="H150" s="128">
        <v>20</v>
      </c>
      <c r="I150" s="128">
        <f t="shared" si="89"/>
        <v>12</v>
      </c>
      <c r="J150" s="128">
        <f t="shared" si="90"/>
        <v>0</v>
      </c>
      <c r="K150" s="128"/>
      <c r="L150" s="129"/>
    </row>
    <row r="151" spans="1:12" x14ac:dyDescent="0.25">
      <c r="A151" s="130"/>
      <c r="B151" s="975" t="s">
        <v>223</v>
      </c>
      <c r="C151" s="976"/>
      <c r="D151" s="126">
        <v>251.49700000000001</v>
      </c>
      <c r="E151" s="126">
        <f t="shared" si="91"/>
        <v>251.39699999999999</v>
      </c>
      <c r="F151" s="127">
        <f t="shared" si="88"/>
        <v>-0.1</v>
      </c>
      <c r="G151" s="128">
        <v>6</v>
      </c>
      <c r="H151" s="128">
        <v>20</v>
      </c>
      <c r="I151" s="128">
        <f t="shared" si="89"/>
        <v>12</v>
      </c>
      <c r="J151" s="128">
        <f t="shared" si="90"/>
        <v>0</v>
      </c>
      <c r="K151" s="128"/>
      <c r="L151" s="129"/>
    </row>
    <row r="152" spans="1:12" x14ac:dyDescent="0.25">
      <c r="A152" s="130"/>
      <c r="B152" s="975" t="s">
        <v>224</v>
      </c>
      <c r="C152" s="976"/>
      <c r="D152" s="126">
        <v>251.465</v>
      </c>
      <c r="E152" s="126">
        <f t="shared" si="91"/>
        <v>251.36500000000001</v>
      </c>
      <c r="F152" s="127">
        <f t="shared" si="88"/>
        <v>-0.1</v>
      </c>
      <c r="G152" s="128">
        <v>6</v>
      </c>
      <c r="H152" s="128">
        <v>20</v>
      </c>
      <c r="I152" s="128">
        <f t="shared" si="89"/>
        <v>12</v>
      </c>
      <c r="J152" s="128">
        <f t="shared" si="90"/>
        <v>0</v>
      </c>
      <c r="K152" s="128"/>
      <c r="L152" s="129"/>
    </row>
    <row r="153" spans="1:12" x14ac:dyDescent="0.25">
      <c r="A153" s="130"/>
      <c r="B153" s="975" t="s">
        <v>225</v>
      </c>
      <c r="C153" s="976"/>
      <c r="D153" s="126">
        <v>251.43</v>
      </c>
      <c r="E153" s="126">
        <f t="shared" si="91"/>
        <v>251.33</v>
      </c>
      <c r="F153" s="127">
        <f t="shared" ref="F153:F169" si="92">E153-D153</f>
        <v>-0.1</v>
      </c>
      <c r="G153" s="128">
        <v>6</v>
      </c>
      <c r="H153" s="128">
        <v>20</v>
      </c>
      <c r="I153" s="128">
        <f t="shared" ref="I153:I169" si="93">IF(F153&gt;0,0,(F153*G153*H153)*-1)</f>
        <v>12</v>
      </c>
      <c r="J153" s="128">
        <f t="shared" ref="J153:J169" si="94">IF(F153&gt;0,F153*G153*H153,0)</f>
        <v>0</v>
      </c>
      <c r="K153" s="128"/>
      <c r="L153" s="129"/>
    </row>
    <row r="154" spans="1:12" x14ac:dyDescent="0.25">
      <c r="A154" s="130"/>
      <c r="B154" s="975" t="s">
        <v>226</v>
      </c>
      <c r="C154" s="976"/>
      <c r="D154" s="126">
        <v>251.45699999999999</v>
      </c>
      <c r="E154" s="126">
        <f t="shared" si="91"/>
        <v>251.357</v>
      </c>
      <c r="F154" s="127">
        <f t="shared" si="92"/>
        <v>-0.1</v>
      </c>
      <c r="G154" s="128">
        <v>6</v>
      </c>
      <c r="H154" s="128">
        <v>20</v>
      </c>
      <c r="I154" s="128">
        <f t="shared" si="93"/>
        <v>12</v>
      </c>
      <c r="J154" s="128">
        <f t="shared" si="94"/>
        <v>0</v>
      </c>
      <c r="K154" s="128"/>
      <c r="L154" s="129"/>
    </row>
    <row r="155" spans="1:12" x14ac:dyDescent="0.25">
      <c r="A155" s="130"/>
      <c r="B155" s="975" t="s">
        <v>227</v>
      </c>
      <c r="C155" s="976"/>
      <c r="D155" s="126">
        <v>251.42400000000001</v>
      </c>
      <c r="E155" s="126">
        <f t="shared" si="91"/>
        <v>251.32400000000001</v>
      </c>
      <c r="F155" s="127">
        <f t="shared" si="92"/>
        <v>-0.1</v>
      </c>
      <c r="G155" s="128">
        <v>6</v>
      </c>
      <c r="H155" s="128">
        <v>20</v>
      </c>
      <c r="I155" s="128">
        <f t="shared" si="93"/>
        <v>12</v>
      </c>
      <c r="J155" s="128">
        <f t="shared" si="94"/>
        <v>0</v>
      </c>
      <c r="K155" s="128"/>
      <c r="L155" s="129"/>
    </row>
    <row r="156" spans="1:12" x14ac:dyDescent="0.25">
      <c r="A156" s="130"/>
      <c r="B156" s="975" t="s">
        <v>228</v>
      </c>
      <c r="C156" s="976"/>
      <c r="D156" s="126">
        <v>251.333</v>
      </c>
      <c r="E156" s="126">
        <f t="shared" si="91"/>
        <v>251.233</v>
      </c>
      <c r="F156" s="127">
        <f t="shared" si="92"/>
        <v>-0.1</v>
      </c>
      <c r="G156" s="128">
        <v>6</v>
      </c>
      <c r="H156" s="128">
        <v>20</v>
      </c>
      <c r="I156" s="128">
        <f t="shared" si="93"/>
        <v>12</v>
      </c>
      <c r="J156" s="128">
        <f t="shared" si="94"/>
        <v>0</v>
      </c>
      <c r="K156" s="128"/>
      <c r="L156" s="129"/>
    </row>
    <row r="157" spans="1:12" x14ac:dyDescent="0.25">
      <c r="A157" s="130"/>
      <c r="B157" s="975" t="s">
        <v>229</v>
      </c>
      <c r="C157" s="976"/>
      <c r="D157" s="126">
        <v>251.32400000000001</v>
      </c>
      <c r="E157" s="126">
        <f t="shared" si="91"/>
        <v>251.22399999999999</v>
      </c>
      <c r="F157" s="127">
        <f t="shared" si="92"/>
        <v>-0.1</v>
      </c>
      <c r="G157" s="128">
        <v>6</v>
      </c>
      <c r="H157" s="128">
        <v>20</v>
      </c>
      <c r="I157" s="128">
        <f t="shared" si="93"/>
        <v>12</v>
      </c>
      <c r="J157" s="128">
        <f t="shared" si="94"/>
        <v>0</v>
      </c>
      <c r="K157" s="128"/>
      <c r="L157" s="129"/>
    </row>
    <row r="158" spans="1:12" x14ac:dyDescent="0.25">
      <c r="A158" s="130"/>
      <c r="B158" s="975" t="s">
        <v>230</v>
      </c>
      <c r="C158" s="976"/>
      <c r="D158" s="126">
        <v>251.25899999999999</v>
      </c>
      <c r="E158" s="126">
        <f t="shared" si="91"/>
        <v>251.15899999999999</v>
      </c>
      <c r="F158" s="127">
        <f t="shared" si="92"/>
        <v>-0.1</v>
      </c>
      <c r="G158" s="128">
        <v>6</v>
      </c>
      <c r="H158" s="128">
        <v>20</v>
      </c>
      <c r="I158" s="128">
        <f t="shared" si="93"/>
        <v>12</v>
      </c>
      <c r="J158" s="128">
        <f t="shared" si="94"/>
        <v>0</v>
      </c>
      <c r="K158" s="128"/>
      <c r="L158" s="129"/>
    </row>
    <row r="159" spans="1:12" x14ac:dyDescent="0.25">
      <c r="A159" s="130"/>
      <c r="B159" s="975" t="s">
        <v>231</v>
      </c>
      <c r="C159" s="976"/>
      <c r="D159" s="126">
        <v>251.22200000000001</v>
      </c>
      <c r="E159" s="126">
        <f t="shared" si="91"/>
        <v>251.12200000000001</v>
      </c>
      <c r="F159" s="127">
        <f t="shared" si="92"/>
        <v>-0.1</v>
      </c>
      <c r="G159" s="128">
        <v>6</v>
      </c>
      <c r="H159" s="128">
        <v>20</v>
      </c>
      <c r="I159" s="128">
        <f t="shared" si="93"/>
        <v>12</v>
      </c>
      <c r="J159" s="128">
        <f t="shared" si="94"/>
        <v>0</v>
      </c>
      <c r="K159" s="128"/>
      <c r="L159" s="129"/>
    </row>
    <row r="160" spans="1:12" x14ac:dyDescent="0.25">
      <c r="A160" s="130"/>
      <c r="B160" s="975" t="s">
        <v>232</v>
      </c>
      <c r="C160" s="976"/>
      <c r="D160" s="126">
        <v>251.191</v>
      </c>
      <c r="E160" s="126">
        <f t="shared" si="91"/>
        <v>251.09100000000001</v>
      </c>
      <c r="F160" s="127">
        <f t="shared" si="92"/>
        <v>-0.1</v>
      </c>
      <c r="G160" s="128">
        <v>6</v>
      </c>
      <c r="H160" s="128">
        <v>20</v>
      </c>
      <c r="I160" s="128">
        <f t="shared" si="93"/>
        <v>12</v>
      </c>
      <c r="J160" s="128">
        <f t="shared" si="94"/>
        <v>0</v>
      </c>
      <c r="K160" s="128"/>
      <c r="L160" s="129"/>
    </row>
    <row r="161" spans="1:12" x14ac:dyDescent="0.25">
      <c r="A161" s="130"/>
      <c r="B161" s="975" t="s">
        <v>233</v>
      </c>
      <c r="C161" s="976"/>
      <c r="D161" s="126">
        <v>251.15799999999999</v>
      </c>
      <c r="E161" s="126">
        <f t="shared" si="91"/>
        <v>251.05799999999999</v>
      </c>
      <c r="F161" s="127">
        <f t="shared" si="92"/>
        <v>-0.1</v>
      </c>
      <c r="G161" s="128">
        <v>6</v>
      </c>
      <c r="H161" s="128">
        <v>20</v>
      </c>
      <c r="I161" s="128">
        <f t="shared" si="93"/>
        <v>12</v>
      </c>
      <c r="J161" s="128">
        <f t="shared" si="94"/>
        <v>0</v>
      </c>
      <c r="K161" s="128"/>
      <c r="L161" s="129"/>
    </row>
    <row r="162" spans="1:12" x14ac:dyDescent="0.25">
      <c r="A162" s="130"/>
      <c r="B162" s="975" t="s">
        <v>234</v>
      </c>
      <c r="C162" s="976"/>
      <c r="D162" s="126">
        <v>251.19800000000001</v>
      </c>
      <c r="E162" s="126">
        <f t="shared" si="91"/>
        <v>251.09800000000001</v>
      </c>
      <c r="F162" s="127">
        <f t="shared" si="92"/>
        <v>-0.1</v>
      </c>
      <c r="G162" s="128">
        <v>6</v>
      </c>
      <c r="H162" s="128">
        <v>20</v>
      </c>
      <c r="I162" s="128">
        <f t="shared" si="93"/>
        <v>12</v>
      </c>
      <c r="J162" s="128">
        <f t="shared" si="94"/>
        <v>0</v>
      </c>
      <c r="K162" s="128"/>
      <c r="L162" s="129"/>
    </row>
    <row r="163" spans="1:12" x14ac:dyDescent="0.25">
      <c r="A163" s="130"/>
      <c r="B163" s="975" t="s">
        <v>406</v>
      </c>
      <c r="C163" s="976"/>
      <c r="D163" s="126">
        <v>251.125</v>
      </c>
      <c r="E163" s="126">
        <f t="shared" si="91"/>
        <v>251.02500000000001</v>
      </c>
      <c r="F163" s="127">
        <f t="shared" si="92"/>
        <v>-0.1</v>
      </c>
      <c r="G163" s="128">
        <v>6</v>
      </c>
      <c r="H163" s="128">
        <v>20</v>
      </c>
      <c r="I163" s="128">
        <f t="shared" si="93"/>
        <v>12</v>
      </c>
      <c r="J163" s="128">
        <f t="shared" si="94"/>
        <v>0</v>
      </c>
      <c r="K163" s="128"/>
      <c r="L163" s="129"/>
    </row>
    <row r="164" spans="1:12" x14ac:dyDescent="0.25">
      <c r="A164" s="130"/>
      <c r="B164" s="975" t="s">
        <v>407</v>
      </c>
      <c r="C164" s="976"/>
      <c r="D164" s="126">
        <v>251.04400000000001</v>
      </c>
      <c r="E164" s="126">
        <f t="shared" si="91"/>
        <v>250.94399999999999</v>
      </c>
      <c r="F164" s="127">
        <f t="shared" si="92"/>
        <v>-0.1</v>
      </c>
      <c r="G164" s="128">
        <v>6</v>
      </c>
      <c r="H164" s="128">
        <v>20</v>
      </c>
      <c r="I164" s="128">
        <f t="shared" si="93"/>
        <v>12</v>
      </c>
      <c r="J164" s="128">
        <f t="shared" si="94"/>
        <v>0</v>
      </c>
      <c r="K164" s="128"/>
      <c r="L164" s="129"/>
    </row>
    <row r="165" spans="1:12" x14ac:dyDescent="0.25">
      <c r="A165" s="130"/>
      <c r="B165" s="975" t="s">
        <v>408</v>
      </c>
      <c r="C165" s="976"/>
      <c r="D165" s="126">
        <v>251.041</v>
      </c>
      <c r="E165" s="126">
        <f t="shared" si="91"/>
        <v>250.941</v>
      </c>
      <c r="F165" s="127">
        <f t="shared" si="92"/>
        <v>-0.1</v>
      </c>
      <c r="G165" s="128">
        <v>6</v>
      </c>
      <c r="H165" s="128">
        <v>20</v>
      </c>
      <c r="I165" s="128">
        <f t="shared" si="93"/>
        <v>12</v>
      </c>
      <c r="J165" s="128">
        <f t="shared" si="94"/>
        <v>0</v>
      </c>
      <c r="K165" s="128"/>
      <c r="L165" s="129"/>
    </row>
    <row r="166" spans="1:12" x14ac:dyDescent="0.25">
      <c r="A166" s="130"/>
      <c r="B166" s="975" t="s">
        <v>409</v>
      </c>
      <c r="C166" s="976"/>
      <c r="D166" s="126">
        <v>251.03899999999999</v>
      </c>
      <c r="E166" s="126">
        <f t="shared" si="91"/>
        <v>250.93899999999999</v>
      </c>
      <c r="F166" s="127">
        <f t="shared" si="92"/>
        <v>-0.1</v>
      </c>
      <c r="G166" s="128">
        <v>6</v>
      </c>
      <c r="H166" s="128">
        <v>20</v>
      </c>
      <c r="I166" s="128">
        <f t="shared" si="93"/>
        <v>12</v>
      </c>
      <c r="J166" s="128">
        <f t="shared" si="94"/>
        <v>0</v>
      </c>
      <c r="K166" s="128"/>
      <c r="L166" s="129"/>
    </row>
    <row r="167" spans="1:12" x14ac:dyDescent="0.25">
      <c r="A167" s="130"/>
      <c r="B167" s="975" t="s">
        <v>410</v>
      </c>
      <c r="C167" s="976"/>
      <c r="D167" s="126">
        <v>250.952</v>
      </c>
      <c r="E167" s="126">
        <f t="shared" si="91"/>
        <v>250.852</v>
      </c>
      <c r="F167" s="127">
        <f t="shared" si="92"/>
        <v>-0.1</v>
      </c>
      <c r="G167" s="128">
        <v>6</v>
      </c>
      <c r="H167" s="128">
        <v>20</v>
      </c>
      <c r="I167" s="128">
        <f t="shared" si="93"/>
        <v>12</v>
      </c>
      <c r="J167" s="128">
        <f t="shared" si="94"/>
        <v>0</v>
      </c>
      <c r="K167" s="128"/>
      <c r="L167" s="129"/>
    </row>
    <row r="168" spans="1:12" x14ac:dyDescent="0.25">
      <c r="A168" s="130"/>
      <c r="B168" s="975" t="s">
        <v>411</v>
      </c>
      <c r="C168" s="976"/>
      <c r="D168" s="126">
        <v>250.76400000000001</v>
      </c>
      <c r="E168" s="126">
        <f t="shared" si="91"/>
        <v>250.66399999999999</v>
      </c>
      <c r="F168" s="127">
        <f t="shared" si="92"/>
        <v>-0.1</v>
      </c>
      <c r="G168" s="128">
        <v>6</v>
      </c>
      <c r="H168" s="128">
        <v>20</v>
      </c>
      <c r="I168" s="128">
        <f t="shared" si="93"/>
        <v>12</v>
      </c>
      <c r="J168" s="128">
        <f t="shared" si="94"/>
        <v>0</v>
      </c>
      <c r="K168" s="128"/>
      <c r="L168" s="129"/>
    </row>
    <row r="169" spans="1:12" x14ac:dyDescent="0.25">
      <c r="A169" s="130"/>
      <c r="B169" s="975" t="s">
        <v>412</v>
      </c>
      <c r="C169" s="976"/>
      <c r="D169" s="126">
        <v>250.755</v>
      </c>
      <c r="E169" s="126">
        <f t="shared" si="91"/>
        <v>250.655</v>
      </c>
      <c r="F169" s="127">
        <f t="shared" si="92"/>
        <v>-0.1</v>
      </c>
      <c r="G169" s="128">
        <v>6</v>
      </c>
      <c r="H169" s="128">
        <v>20</v>
      </c>
      <c r="I169" s="128">
        <f t="shared" si="93"/>
        <v>12</v>
      </c>
      <c r="J169" s="128">
        <f t="shared" si="94"/>
        <v>0</v>
      </c>
      <c r="K169" s="128"/>
      <c r="L169" s="129"/>
    </row>
    <row r="170" spans="1:12" x14ac:dyDescent="0.25">
      <c r="A170" s="130"/>
      <c r="B170" s="975" t="s">
        <v>490</v>
      </c>
      <c r="C170" s="976"/>
      <c r="D170" s="126">
        <v>250.78399999999999</v>
      </c>
      <c r="E170" s="126">
        <f t="shared" si="91"/>
        <v>250.684</v>
      </c>
      <c r="F170" s="127">
        <f t="shared" ref="F170" si="95">E170-D170</f>
        <v>-0.1</v>
      </c>
      <c r="G170" s="128">
        <v>6</v>
      </c>
      <c r="H170" s="128">
        <v>8.49</v>
      </c>
      <c r="I170" s="128">
        <f t="shared" ref="I170" si="96">IF(F170&gt;0,0,(F170*G170*H170)*-1)</f>
        <v>5.09</v>
      </c>
      <c r="J170" s="128">
        <f t="shared" ref="J170" si="97">IF(F170&gt;0,F170*G170*H170,0)</f>
        <v>0</v>
      </c>
      <c r="K170" s="128"/>
      <c r="L170" s="129"/>
    </row>
    <row r="171" spans="1:12" ht="16.899999999999999" customHeight="1" thickBot="1" x14ac:dyDescent="0.3">
      <c r="A171" s="195"/>
      <c r="B171" s="196"/>
      <c r="C171" s="197"/>
      <c r="D171" s="198"/>
      <c r="E171" s="199"/>
      <c r="F171" s="200"/>
      <c r="G171" s="199"/>
      <c r="H171" s="201">
        <f>SUM(H145:H170)</f>
        <v>488.49</v>
      </c>
      <c r="I171" s="201">
        <f>SUM(I145:I170)</f>
        <v>293.08999999999997</v>
      </c>
      <c r="J171" s="201">
        <f>SUM(J145:J170)</f>
        <v>0</v>
      </c>
      <c r="K171" s="202"/>
      <c r="L171" s="203"/>
    </row>
    <row r="172" spans="1:12" ht="22.9" customHeight="1" x14ac:dyDescent="0.25">
      <c r="A172" s="175" t="s">
        <v>164</v>
      </c>
      <c r="B172" s="961" t="s">
        <v>446</v>
      </c>
      <c r="C172" s="962"/>
      <c r="D172" s="176"/>
      <c r="E172" s="177"/>
      <c r="F172" s="178"/>
      <c r="G172" s="177"/>
      <c r="H172" s="177"/>
      <c r="I172" s="179">
        <f>I247</f>
        <v>1017.6</v>
      </c>
      <c r="J172" s="180">
        <f>J247</f>
        <v>0</v>
      </c>
      <c r="K172" s="148">
        <f>I172</f>
        <v>1017.6</v>
      </c>
      <c r="L172" s="149"/>
    </row>
    <row r="173" spans="1:12" x14ac:dyDescent="0.25">
      <c r="A173" s="123"/>
      <c r="B173" s="977" t="s">
        <v>217</v>
      </c>
      <c r="C173" s="978"/>
      <c r="D173" s="301">
        <v>251.667</v>
      </c>
      <c r="E173" s="126">
        <f>D173-0.1</f>
        <v>251.56700000000001</v>
      </c>
      <c r="F173" s="127">
        <f t="shared" ref="F173:F180" si="98">E173-D173</f>
        <v>-0.1</v>
      </c>
      <c r="G173" s="128">
        <v>7</v>
      </c>
      <c r="H173" s="128">
        <v>0</v>
      </c>
      <c r="I173" s="128">
        <f t="shared" ref="I173:I180" si="99">IF(F173&gt;0,0,(F173*G173*H173)*-1)</f>
        <v>0</v>
      </c>
      <c r="J173" s="128">
        <f t="shared" ref="J173:J180" si="100">IF(F173&gt;0,F173*G173*H173,0)</f>
        <v>0</v>
      </c>
      <c r="K173" s="128"/>
      <c r="L173" s="129"/>
    </row>
    <row r="174" spans="1:12" x14ac:dyDescent="0.25">
      <c r="A174" s="130"/>
      <c r="B174" s="975" t="s">
        <v>218</v>
      </c>
      <c r="C174" s="976"/>
      <c r="D174" s="301">
        <v>251.55099999999999</v>
      </c>
      <c r="E174" s="126">
        <f t="shared" ref="E174:E237" si="101">D174-0.1</f>
        <v>251.45099999999999</v>
      </c>
      <c r="F174" s="127">
        <f t="shared" si="98"/>
        <v>-0.1</v>
      </c>
      <c r="G174" s="128">
        <v>7</v>
      </c>
      <c r="H174" s="128">
        <v>20</v>
      </c>
      <c r="I174" s="128">
        <f t="shared" si="99"/>
        <v>14</v>
      </c>
      <c r="J174" s="128">
        <f t="shared" si="100"/>
        <v>0</v>
      </c>
      <c r="K174" s="128"/>
      <c r="L174" s="129"/>
    </row>
    <row r="175" spans="1:12" x14ac:dyDescent="0.25">
      <c r="A175" s="130"/>
      <c r="B175" s="975" t="s">
        <v>219</v>
      </c>
      <c r="C175" s="976"/>
      <c r="D175" s="301">
        <v>251.90100000000001</v>
      </c>
      <c r="E175" s="126">
        <f t="shared" si="101"/>
        <v>251.80099999999999</v>
      </c>
      <c r="F175" s="127">
        <f t="shared" si="98"/>
        <v>-0.1</v>
      </c>
      <c r="G175" s="128">
        <v>7</v>
      </c>
      <c r="H175" s="128">
        <v>20</v>
      </c>
      <c r="I175" s="128">
        <f t="shared" si="99"/>
        <v>14</v>
      </c>
      <c r="J175" s="128">
        <f t="shared" si="100"/>
        <v>0</v>
      </c>
      <c r="K175" s="128"/>
      <c r="L175" s="129"/>
    </row>
    <row r="176" spans="1:12" x14ac:dyDescent="0.25">
      <c r="A176" s="130"/>
      <c r="B176" s="975" t="s">
        <v>220</v>
      </c>
      <c r="C176" s="976"/>
      <c r="D176" s="301">
        <v>251.708</v>
      </c>
      <c r="E176" s="126">
        <f t="shared" si="101"/>
        <v>251.608</v>
      </c>
      <c r="F176" s="127">
        <f t="shared" si="98"/>
        <v>-0.1</v>
      </c>
      <c r="G176" s="128">
        <v>7</v>
      </c>
      <c r="H176" s="128">
        <v>20</v>
      </c>
      <c r="I176" s="128">
        <f t="shared" si="99"/>
        <v>14</v>
      </c>
      <c r="J176" s="128">
        <f t="shared" si="100"/>
        <v>0</v>
      </c>
      <c r="K176" s="128"/>
      <c r="L176" s="129"/>
    </row>
    <row r="177" spans="1:14" x14ac:dyDescent="0.25">
      <c r="A177" s="130"/>
      <c r="B177" s="975" t="s">
        <v>221</v>
      </c>
      <c r="C177" s="976"/>
      <c r="D177" s="301">
        <v>251.95099999999999</v>
      </c>
      <c r="E177" s="126">
        <f t="shared" si="101"/>
        <v>251.851</v>
      </c>
      <c r="F177" s="127">
        <f t="shared" si="98"/>
        <v>-0.1</v>
      </c>
      <c r="G177" s="128">
        <v>7</v>
      </c>
      <c r="H177" s="128">
        <v>20</v>
      </c>
      <c r="I177" s="128">
        <f t="shared" si="99"/>
        <v>14</v>
      </c>
      <c r="J177" s="128">
        <f t="shared" si="100"/>
        <v>0</v>
      </c>
      <c r="K177" s="128"/>
      <c r="L177" s="129"/>
    </row>
    <row r="178" spans="1:14" x14ac:dyDescent="0.25">
      <c r="A178" s="130"/>
      <c r="B178" s="975" t="s">
        <v>222</v>
      </c>
      <c r="C178" s="976"/>
      <c r="D178" s="301">
        <v>252.02699999999999</v>
      </c>
      <c r="E178" s="126">
        <f t="shared" si="101"/>
        <v>251.92699999999999</v>
      </c>
      <c r="F178" s="127">
        <f t="shared" si="98"/>
        <v>-0.1</v>
      </c>
      <c r="G178" s="128">
        <v>7</v>
      </c>
      <c r="H178" s="128">
        <v>20</v>
      </c>
      <c r="I178" s="128">
        <f t="shared" si="99"/>
        <v>14</v>
      </c>
      <c r="J178" s="128">
        <f t="shared" si="100"/>
        <v>0</v>
      </c>
      <c r="K178" s="128"/>
      <c r="L178" s="129"/>
    </row>
    <row r="179" spans="1:14" x14ac:dyDescent="0.25">
      <c r="A179" s="130"/>
      <c r="B179" s="975" t="s">
        <v>223</v>
      </c>
      <c r="C179" s="976"/>
      <c r="D179" s="301">
        <v>251.85400000000001</v>
      </c>
      <c r="E179" s="126">
        <f t="shared" si="101"/>
        <v>251.75399999999999</v>
      </c>
      <c r="F179" s="127">
        <f t="shared" si="98"/>
        <v>-0.1</v>
      </c>
      <c r="G179" s="128">
        <v>7</v>
      </c>
      <c r="H179" s="128">
        <v>20</v>
      </c>
      <c r="I179" s="128">
        <f t="shared" si="99"/>
        <v>14</v>
      </c>
      <c r="J179" s="128">
        <f t="shared" si="100"/>
        <v>0</v>
      </c>
      <c r="K179" s="128"/>
      <c r="L179" s="129"/>
    </row>
    <row r="180" spans="1:14" x14ac:dyDescent="0.25">
      <c r="A180" s="130"/>
      <c r="B180" s="975" t="s">
        <v>224</v>
      </c>
      <c r="C180" s="976"/>
      <c r="D180" s="301">
        <v>251.96</v>
      </c>
      <c r="E180" s="126">
        <f t="shared" si="101"/>
        <v>251.86</v>
      </c>
      <c r="F180" s="127">
        <f t="shared" si="98"/>
        <v>-0.1</v>
      </c>
      <c r="G180" s="128">
        <v>7</v>
      </c>
      <c r="H180" s="128">
        <v>20</v>
      </c>
      <c r="I180" s="128">
        <f t="shared" si="99"/>
        <v>14</v>
      </c>
      <c r="J180" s="128">
        <f t="shared" si="100"/>
        <v>0</v>
      </c>
      <c r="K180" s="128"/>
      <c r="L180" s="129"/>
      <c r="N180" s="303"/>
    </row>
    <row r="181" spans="1:14" x14ac:dyDescent="0.25">
      <c r="A181" s="130"/>
      <c r="B181" s="975" t="s">
        <v>225</v>
      </c>
      <c r="C181" s="976"/>
      <c r="D181" s="301">
        <v>251.85599999999999</v>
      </c>
      <c r="E181" s="126">
        <f t="shared" si="101"/>
        <v>251.756</v>
      </c>
      <c r="F181" s="127">
        <f t="shared" ref="F181:F191" si="102">E181-D181</f>
        <v>-0.1</v>
      </c>
      <c r="G181" s="128">
        <v>7</v>
      </c>
      <c r="H181" s="128">
        <v>20</v>
      </c>
      <c r="I181" s="128">
        <f t="shared" ref="I181:I191" si="103">IF(F181&gt;0,0,(F181*G181*H181)*-1)</f>
        <v>14</v>
      </c>
      <c r="J181" s="128">
        <f t="shared" ref="J181:J191" si="104">IF(F181&gt;0,F181*G181*H181,0)</f>
        <v>0</v>
      </c>
      <c r="K181" s="128"/>
      <c r="L181" s="129"/>
    </row>
    <row r="182" spans="1:14" x14ac:dyDescent="0.25">
      <c r="A182" s="130"/>
      <c r="B182" s="975" t="s">
        <v>226</v>
      </c>
      <c r="C182" s="976"/>
      <c r="D182" s="301">
        <v>251.78100000000001</v>
      </c>
      <c r="E182" s="126">
        <f t="shared" si="101"/>
        <v>251.68100000000001</v>
      </c>
      <c r="F182" s="127">
        <f t="shared" si="102"/>
        <v>-0.1</v>
      </c>
      <c r="G182" s="128">
        <v>7</v>
      </c>
      <c r="H182" s="128">
        <v>20</v>
      </c>
      <c r="I182" s="128">
        <f t="shared" si="103"/>
        <v>14</v>
      </c>
      <c r="J182" s="128">
        <f t="shared" si="104"/>
        <v>0</v>
      </c>
      <c r="K182" s="128"/>
      <c r="L182" s="129"/>
    </row>
    <row r="183" spans="1:14" x14ac:dyDescent="0.25">
      <c r="A183" s="130"/>
      <c r="B183" s="975" t="s">
        <v>227</v>
      </c>
      <c r="C183" s="976"/>
      <c r="D183" s="301">
        <v>251.67400000000001</v>
      </c>
      <c r="E183" s="126">
        <f t="shared" si="101"/>
        <v>251.57400000000001</v>
      </c>
      <c r="F183" s="127">
        <f t="shared" si="102"/>
        <v>-0.1</v>
      </c>
      <c r="G183" s="128">
        <v>7</v>
      </c>
      <c r="H183" s="128">
        <v>20</v>
      </c>
      <c r="I183" s="128">
        <f t="shared" si="103"/>
        <v>14</v>
      </c>
      <c r="J183" s="128">
        <f t="shared" si="104"/>
        <v>0</v>
      </c>
      <c r="K183" s="128"/>
      <c r="L183" s="129"/>
    </row>
    <row r="184" spans="1:14" x14ac:dyDescent="0.25">
      <c r="A184" s="130"/>
      <c r="B184" s="975" t="s">
        <v>228</v>
      </c>
      <c r="C184" s="976"/>
      <c r="D184" s="301">
        <v>251.577</v>
      </c>
      <c r="E184" s="126">
        <f t="shared" si="101"/>
        <v>251.477</v>
      </c>
      <c r="F184" s="127">
        <f t="shared" si="102"/>
        <v>-0.1</v>
      </c>
      <c r="G184" s="128">
        <v>7</v>
      </c>
      <c r="H184" s="128">
        <v>20</v>
      </c>
      <c r="I184" s="128">
        <f t="shared" si="103"/>
        <v>14</v>
      </c>
      <c r="J184" s="128">
        <f t="shared" si="104"/>
        <v>0</v>
      </c>
      <c r="K184" s="128"/>
      <c r="L184" s="129"/>
    </row>
    <row r="185" spans="1:14" x14ac:dyDescent="0.25">
      <c r="A185" s="130"/>
      <c r="B185" s="975" t="s">
        <v>229</v>
      </c>
      <c r="C185" s="976"/>
      <c r="D185" s="301">
        <v>251.762</v>
      </c>
      <c r="E185" s="126">
        <f t="shared" si="101"/>
        <v>251.66200000000001</v>
      </c>
      <c r="F185" s="127">
        <f t="shared" si="102"/>
        <v>-0.1</v>
      </c>
      <c r="G185" s="128">
        <v>7</v>
      </c>
      <c r="H185" s="128">
        <v>20</v>
      </c>
      <c r="I185" s="128">
        <f t="shared" si="103"/>
        <v>14</v>
      </c>
      <c r="J185" s="128">
        <f t="shared" si="104"/>
        <v>0</v>
      </c>
      <c r="K185" s="128"/>
      <c r="L185" s="129"/>
    </row>
    <row r="186" spans="1:14" x14ac:dyDescent="0.25">
      <c r="A186" s="130"/>
      <c r="B186" s="975" t="s">
        <v>230</v>
      </c>
      <c r="C186" s="976"/>
      <c r="D186" s="301">
        <v>251.71199999999999</v>
      </c>
      <c r="E186" s="126">
        <f t="shared" si="101"/>
        <v>251.61199999999999</v>
      </c>
      <c r="F186" s="127">
        <f t="shared" si="102"/>
        <v>-0.1</v>
      </c>
      <c r="G186" s="128">
        <v>7</v>
      </c>
      <c r="H186" s="128">
        <v>20</v>
      </c>
      <c r="I186" s="128">
        <f t="shared" si="103"/>
        <v>14</v>
      </c>
      <c r="J186" s="128">
        <f t="shared" si="104"/>
        <v>0</v>
      </c>
      <c r="K186" s="128"/>
      <c r="L186" s="129"/>
    </row>
    <row r="187" spans="1:14" x14ac:dyDescent="0.25">
      <c r="A187" s="130"/>
      <c r="B187" s="975" t="s">
        <v>231</v>
      </c>
      <c r="C187" s="976"/>
      <c r="D187" s="301">
        <v>251.61799999999999</v>
      </c>
      <c r="E187" s="126">
        <f t="shared" si="101"/>
        <v>251.518</v>
      </c>
      <c r="F187" s="127">
        <f t="shared" si="102"/>
        <v>-0.1</v>
      </c>
      <c r="G187" s="128">
        <v>7</v>
      </c>
      <c r="H187" s="128">
        <v>20</v>
      </c>
      <c r="I187" s="128">
        <f t="shared" si="103"/>
        <v>14</v>
      </c>
      <c r="J187" s="128">
        <f t="shared" si="104"/>
        <v>0</v>
      </c>
      <c r="K187" s="128"/>
      <c r="L187" s="129"/>
    </row>
    <row r="188" spans="1:14" x14ac:dyDescent="0.25">
      <c r="A188" s="130"/>
      <c r="B188" s="975" t="s">
        <v>232</v>
      </c>
      <c r="C188" s="976"/>
      <c r="D188" s="301">
        <v>251.18799999999999</v>
      </c>
      <c r="E188" s="126">
        <f t="shared" si="101"/>
        <v>251.08799999999999</v>
      </c>
      <c r="F188" s="127">
        <f t="shared" si="102"/>
        <v>-0.1</v>
      </c>
      <c r="G188" s="128">
        <v>7</v>
      </c>
      <c r="H188" s="128">
        <v>20</v>
      </c>
      <c r="I188" s="128">
        <f t="shared" si="103"/>
        <v>14</v>
      </c>
      <c r="J188" s="128">
        <f t="shared" si="104"/>
        <v>0</v>
      </c>
      <c r="K188" s="128"/>
      <c r="L188" s="129"/>
      <c r="N188" s="303"/>
    </row>
    <row r="189" spans="1:14" x14ac:dyDescent="0.25">
      <c r="A189" s="130"/>
      <c r="B189" s="975" t="s">
        <v>233</v>
      </c>
      <c r="C189" s="976"/>
      <c r="D189" s="301">
        <v>251</v>
      </c>
      <c r="E189" s="126">
        <f t="shared" si="101"/>
        <v>250.9</v>
      </c>
      <c r="F189" s="127">
        <f t="shared" si="102"/>
        <v>-0.1</v>
      </c>
      <c r="G189" s="128">
        <v>7</v>
      </c>
      <c r="H189" s="128">
        <v>20</v>
      </c>
      <c r="I189" s="128">
        <f t="shared" si="103"/>
        <v>14</v>
      </c>
      <c r="J189" s="128">
        <f t="shared" si="104"/>
        <v>0</v>
      </c>
      <c r="K189" s="128"/>
      <c r="L189" s="129"/>
    </row>
    <row r="190" spans="1:14" x14ac:dyDescent="0.25">
      <c r="A190" s="130"/>
      <c r="B190" s="975" t="s">
        <v>234</v>
      </c>
      <c r="C190" s="976"/>
      <c r="D190" s="301">
        <v>250.774</v>
      </c>
      <c r="E190" s="126">
        <f t="shared" si="101"/>
        <v>250.67400000000001</v>
      </c>
      <c r="F190" s="127">
        <f t="shared" si="102"/>
        <v>-0.1</v>
      </c>
      <c r="G190" s="128">
        <v>7</v>
      </c>
      <c r="H190" s="128">
        <v>20</v>
      </c>
      <c r="I190" s="128">
        <f t="shared" si="103"/>
        <v>14</v>
      </c>
      <c r="J190" s="128">
        <f t="shared" si="104"/>
        <v>0</v>
      </c>
      <c r="K190" s="128"/>
      <c r="L190" s="129"/>
    </row>
    <row r="191" spans="1:14" x14ac:dyDescent="0.25">
      <c r="A191" s="130"/>
      <c r="B191" s="975" t="s">
        <v>406</v>
      </c>
      <c r="C191" s="976"/>
      <c r="D191" s="301">
        <v>250.25700000000001</v>
      </c>
      <c r="E191" s="126">
        <f t="shared" si="101"/>
        <v>250.15700000000001</v>
      </c>
      <c r="F191" s="127">
        <f t="shared" si="102"/>
        <v>-0.1</v>
      </c>
      <c r="G191" s="128">
        <v>7</v>
      </c>
      <c r="H191" s="128">
        <v>20</v>
      </c>
      <c r="I191" s="128">
        <f t="shared" si="103"/>
        <v>14</v>
      </c>
      <c r="J191" s="128">
        <f t="shared" si="104"/>
        <v>0</v>
      </c>
      <c r="K191" s="128"/>
      <c r="L191" s="129"/>
    </row>
    <row r="192" spans="1:14" x14ac:dyDescent="0.25">
      <c r="A192" s="130"/>
      <c r="B192" s="975" t="s">
        <v>407</v>
      </c>
      <c r="C192" s="976"/>
      <c r="D192" s="301">
        <v>249.85599999999999</v>
      </c>
      <c r="E192" s="126">
        <f t="shared" si="101"/>
        <v>249.756</v>
      </c>
      <c r="F192" s="127">
        <f t="shared" ref="F192:F246" si="105">E192-D192</f>
        <v>-0.1</v>
      </c>
      <c r="G192" s="128">
        <v>7</v>
      </c>
      <c r="H192" s="128">
        <v>20</v>
      </c>
      <c r="I192" s="128">
        <f t="shared" ref="I192:I246" si="106">IF(F192&gt;0,0,(F192*G192*H192)*-1)</f>
        <v>14</v>
      </c>
      <c r="J192" s="128">
        <f t="shared" ref="J192:J246" si="107">IF(F192&gt;0,F192*G192*H192,0)</f>
        <v>0</v>
      </c>
      <c r="K192" s="128"/>
      <c r="L192" s="129"/>
    </row>
    <row r="193" spans="1:14" x14ac:dyDescent="0.25">
      <c r="A193" s="130"/>
      <c r="B193" s="975" t="s">
        <v>408</v>
      </c>
      <c r="C193" s="976"/>
      <c r="D193" s="301">
        <v>249.67099999999999</v>
      </c>
      <c r="E193" s="126">
        <f t="shared" si="101"/>
        <v>249.571</v>
      </c>
      <c r="F193" s="127">
        <f t="shared" si="105"/>
        <v>-0.1</v>
      </c>
      <c r="G193" s="128">
        <v>7</v>
      </c>
      <c r="H193" s="128">
        <v>20</v>
      </c>
      <c r="I193" s="128">
        <f t="shared" si="106"/>
        <v>14</v>
      </c>
      <c r="J193" s="128">
        <f t="shared" si="107"/>
        <v>0</v>
      </c>
      <c r="K193" s="128"/>
      <c r="L193" s="129"/>
    </row>
    <row r="194" spans="1:14" x14ac:dyDescent="0.25">
      <c r="A194" s="130"/>
      <c r="B194" s="975" t="s">
        <v>409</v>
      </c>
      <c r="C194" s="976"/>
      <c r="D194" s="301">
        <v>249.33799999999999</v>
      </c>
      <c r="E194" s="126">
        <f t="shared" si="101"/>
        <v>249.238</v>
      </c>
      <c r="F194" s="127">
        <f t="shared" si="105"/>
        <v>-0.1</v>
      </c>
      <c r="G194" s="128">
        <v>7</v>
      </c>
      <c r="H194" s="128">
        <v>20</v>
      </c>
      <c r="I194" s="128">
        <f t="shared" si="106"/>
        <v>14</v>
      </c>
      <c r="J194" s="128">
        <f t="shared" si="107"/>
        <v>0</v>
      </c>
      <c r="K194" s="128"/>
      <c r="L194" s="129"/>
    </row>
    <row r="195" spans="1:14" x14ac:dyDescent="0.25">
      <c r="A195" s="130"/>
      <c r="B195" s="975" t="s">
        <v>410</v>
      </c>
      <c r="C195" s="976"/>
      <c r="D195" s="301">
        <v>248.95099999999999</v>
      </c>
      <c r="E195" s="126">
        <f t="shared" si="101"/>
        <v>248.851</v>
      </c>
      <c r="F195" s="127">
        <f t="shared" si="105"/>
        <v>-0.1</v>
      </c>
      <c r="G195" s="128">
        <v>7</v>
      </c>
      <c r="H195" s="128">
        <v>20</v>
      </c>
      <c r="I195" s="128">
        <f t="shared" si="106"/>
        <v>14</v>
      </c>
      <c r="J195" s="128">
        <f t="shared" si="107"/>
        <v>0</v>
      </c>
      <c r="K195" s="128"/>
      <c r="L195" s="129"/>
    </row>
    <row r="196" spans="1:14" x14ac:dyDescent="0.25">
      <c r="A196" s="130"/>
      <c r="B196" s="975" t="s">
        <v>411</v>
      </c>
      <c r="C196" s="976"/>
      <c r="D196" s="301">
        <v>248.70599999999999</v>
      </c>
      <c r="E196" s="126">
        <f t="shared" si="101"/>
        <v>248.60599999999999</v>
      </c>
      <c r="F196" s="127">
        <f t="shared" si="105"/>
        <v>-0.1</v>
      </c>
      <c r="G196" s="128">
        <v>7</v>
      </c>
      <c r="H196" s="128">
        <v>20</v>
      </c>
      <c r="I196" s="128">
        <f t="shared" si="106"/>
        <v>14</v>
      </c>
      <c r="J196" s="128">
        <f t="shared" si="107"/>
        <v>0</v>
      </c>
      <c r="K196" s="128"/>
      <c r="L196" s="129"/>
    </row>
    <row r="197" spans="1:14" x14ac:dyDescent="0.25">
      <c r="A197" s="130"/>
      <c r="B197" s="975" t="s">
        <v>412</v>
      </c>
      <c r="C197" s="976"/>
      <c r="D197" s="301">
        <v>248.04400000000001</v>
      </c>
      <c r="E197" s="126">
        <f t="shared" si="101"/>
        <v>247.94399999999999</v>
      </c>
      <c r="F197" s="127">
        <f t="shared" si="105"/>
        <v>-0.1</v>
      </c>
      <c r="G197" s="128">
        <v>7</v>
      </c>
      <c r="H197" s="128">
        <v>20</v>
      </c>
      <c r="I197" s="128">
        <f t="shared" si="106"/>
        <v>14</v>
      </c>
      <c r="J197" s="128">
        <f t="shared" si="107"/>
        <v>0</v>
      </c>
      <c r="K197" s="128"/>
      <c r="L197" s="129"/>
    </row>
    <row r="198" spans="1:14" x14ac:dyDescent="0.25">
      <c r="A198" s="130"/>
      <c r="B198" s="975" t="s">
        <v>413</v>
      </c>
      <c r="C198" s="976"/>
      <c r="D198" s="301">
        <v>247.666</v>
      </c>
      <c r="E198" s="126">
        <f t="shared" si="101"/>
        <v>247.566</v>
      </c>
      <c r="F198" s="127">
        <f t="shared" si="105"/>
        <v>-0.1</v>
      </c>
      <c r="G198" s="128">
        <v>7</v>
      </c>
      <c r="H198" s="128">
        <v>20</v>
      </c>
      <c r="I198" s="128">
        <f t="shared" si="106"/>
        <v>14</v>
      </c>
      <c r="J198" s="128">
        <f t="shared" si="107"/>
        <v>0</v>
      </c>
      <c r="K198" s="128"/>
      <c r="L198" s="129"/>
    </row>
    <row r="199" spans="1:14" x14ac:dyDescent="0.25">
      <c r="A199" s="130"/>
      <c r="B199" s="975" t="s">
        <v>414</v>
      </c>
      <c r="C199" s="976"/>
      <c r="D199" s="301">
        <v>247.28200000000001</v>
      </c>
      <c r="E199" s="126">
        <f t="shared" si="101"/>
        <v>247.18199999999999</v>
      </c>
      <c r="F199" s="127">
        <f t="shared" si="105"/>
        <v>-0.1</v>
      </c>
      <c r="G199" s="128">
        <v>7</v>
      </c>
      <c r="H199" s="128">
        <v>20</v>
      </c>
      <c r="I199" s="128">
        <f t="shared" si="106"/>
        <v>14</v>
      </c>
      <c r="J199" s="128">
        <f t="shared" si="107"/>
        <v>0</v>
      </c>
      <c r="K199" s="128"/>
      <c r="L199" s="129"/>
      <c r="N199" s="303"/>
    </row>
    <row r="200" spans="1:14" x14ac:dyDescent="0.25">
      <c r="A200" s="130"/>
      <c r="B200" s="975" t="s">
        <v>415</v>
      </c>
      <c r="C200" s="976"/>
      <c r="D200" s="301">
        <v>246.76300000000001</v>
      </c>
      <c r="E200" s="126">
        <f t="shared" si="101"/>
        <v>246.66300000000001</v>
      </c>
      <c r="F200" s="127">
        <f t="shared" si="105"/>
        <v>-0.1</v>
      </c>
      <c r="G200" s="128">
        <v>7</v>
      </c>
      <c r="H200" s="128">
        <v>20</v>
      </c>
      <c r="I200" s="128">
        <f t="shared" si="106"/>
        <v>14</v>
      </c>
      <c r="J200" s="128">
        <f t="shared" si="107"/>
        <v>0</v>
      </c>
      <c r="K200" s="128"/>
      <c r="L200" s="129"/>
    </row>
    <row r="201" spans="1:14" x14ac:dyDescent="0.25">
      <c r="A201" s="130"/>
      <c r="B201" s="975" t="s">
        <v>416</v>
      </c>
      <c r="C201" s="976"/>
      <c r="D201" s="301">
        <v>246.56100000000001</v>
      </c>
      <c r="E201" s="126">
        <f t="shared" si="101"/>
        <v>246.46100000000001</v>
      </c>
      <c r="F201" s="127">
        <f t="shared" si="105"/>
        <v>-0.1</v>
      </c>
      <c r="G201" s="128">
        <v>7</v>
      </c>
      <c r="H201" s="128">
        <v>20</v>
      </c>
      <c r="I201" s="128">
        <f t="shared" si="106"/>
        <v>14</v>
      </c>
      <c r="J201" s="128">
        <f t="shared" si="107"/>
        <v>0</v>
      </c>
      <c r="K201" s="128"/>
      <c r="L201" s="129"/>
    </row>
    <row r="202" spans="1:14" x14ac:dyDescent="0.25">
      <c r="A202" s="130"/>
      <c r="B202" s="975" t="s">
        <v>417</v>
      </c>
      <c r="C202" s="976"/>
      <c r="D202" s="301">
        <v>246.351</v>
      </c>
      <c r="E202" s="126">
        <f t="shared" si="101"/>
        <v>246.251</v>
      </c>
      <c r="F202" s="127">
        <f t="shared" si="105"/>
        <v>-0.1</v>
      </c>
      <c r="G202" s="128">
        <v>7</v>
      </c>
      <c r="H202" s="128">
        <v>20</v>
      </c>
      <c r="I202" s="128">
        <f t="shared" si="106"/>
        <v>14</v>
      </c>
      <c r="J202" s="128">
        <f t="shared" si="107"/>
        <v>0</v>
      </c>
      <c r="K202" s="128"/>
      <c r="L202" s="129"/>
    </row>
    <row r="203" spans="1:14" x14ac:dyDescent="0.25">
      <c r="A203" s="130"/>
      <c r="B203" s="975" t="s">
        <v>418</v>
      </c>
      <c r="C203" s="976"/>
      <c r="D203" s="301">
        <v>246.07300000000001</v>
      </c>
      <c r="E203" s="126">
        <f t="shared" si="101"/>
        <v>245.97300000000001</v>
      </c>
      <c r="F203" s="127">
        <f t="shared" si="105"/>
        <v>-0.1</v>
      </c>
      <c r="G203" s="128">
        <v>7</v>
      </c>
      <c r="H203" s="128">
        <v>20</v>
      </c>
      <c r="I203" s="128">
        <f t="shared" si="106"/>
        <v>14</v>
      </c>
      <c r="J203" s="128">
        <f t="shared" si="107"/>
        <v>0</v>
      </c>
      <c r="K203" s="128"/>
      <c r="L203" s="129"/>
    </row>
    <row r="204" spans="1:14" x14ac:dyDescent="0.25">
      <c r="A204" s="130"/>
      <c r="B204" s="975" t="s">
        <v>419</v>
      </c>
      <c r="C204" s="976"/>
      <c r="D204" s="301">
        <v>245.827</v>
      </c>
      <c r="E204" s="126">
        <f t="shared" si="101"/>
        <v>245.727</v>
      </c>
      <c r="F204" s="127">
        <f t="shared" si="105"/>
        <v>-0.1</v>
      </c>
      <c r="G204" s="128">
        <v>7</v>
      </c>
      <c r="H204" s="128">
        <v>20</v>
      </c>
      <c r="I204" s="128">
        <f t="shared" si="106"/>
        <v>14</v>
      </c>
      <c r="J204" s="128">
        <f t="shared" si="107"/>
        <v>0</v>
      </c>
      <c r="K204" s="128"/>
      <c r="L204" s="129"/>
    </row>
    <row r="205" spans="1:14" x14ac:dyDescent="0.25">
      <c r="A205" s="130"/>
      <c r="B205" s="975" t="s">
        <v>420</v>
      </c>
      <c r="C205" s="976"/>
      <c r="D205" s="301">
        <v>245.27</v>
      </c>
      <c r="E205" s="126">
        <f t="shared" si="101"/>
        <v>245.17</v>
      </c>
      <c r="F205" s="127">
        <f t="shared" si="105"/>
        <v>-0.1</v>
      </c>
      <c r="G205" s="128">
        <v>7</v>
      </c>
      <c r="H205" s="128">
        <v>20</v>
      </c>
      <c r="I205" s="128">
        <f t="shared" si="106"/>
        <v>14</v>
      </c>
      <c r="J205" s="128">
        <f t="shared" si="107"/>
        <v>0</v>
      </c>
      <c r="K205" s="128"/>
      <c r="L205" s="129"/>
    </row>
    <row r="206" spans="1:14" x14ac:dyDescent="0.25">
      <c r="A206" s="130"/>
      <c r="B206" s="975" t="s">
        <v>421</v>
      </c>
      <c r="C206" s="976"/>
      <c r="D206" s="301">
        <v>244.91399999999999</v>
      </c>
      <c r="E206" s="126">
        <f t="shared" si="101"/>
        <v>244.81399999999999</v>
      </c>
      <c r="F206" s="127">
        <f t="shared" si="105"/>
        <v>-0.1</v>
      </c>
      <c r="G206" s="128">
        <v>7</v>
      </c>
      <c r="H206" s="128">
        <v>20</v>
      </c>
      <c r="I206" s="128">
        <f t="shared" si="106"/>
        <v>14</v>
      </c>
      <c r="J206" s="128">
        <f t="shared" si="107"/>
        <v>0</v>
      </c>
      <c r="K206" s="128"/>
      <c r="L206" s="129"/>
    </row>
    <row r="207" spans="1:14" x14ac:dyDescent="0.25">
      <c r="A207" s="130"/>
      <c r="B207" s="975" t="s">
        <v>422</v>
      </c>
      <c r="C207" s="976"/>
      <c r="D207" s="301">
        <v>244.703</v>
      </c>
      <c r="E207" s="126">
        <f t="shared" si="101"/>
        <v>244.60300000000001</v>
      </c>
      <c r="F207" s="127">
        <f t="shared" si="105"/>
        <v>-0.1</v>
      </c>
      <c r="G207" s="128">
        <v>7</v>
      </c>
      <c r="H207" s="128">
        <v>20</v>
      </c>
      <c r="I207" s="128">
        <f t="shared" si="106"/>
        <v>14</v>
      </c>
      <c r="J207" s="128">
        <f t="shared" si="107"/>
        <v>0</v>
      </c>
      <c r="K207" s="128"/>
      <c r="L207" s="129"/>
    </row>
    <row r="208" spans="1:14" x14ac:dyDescent="0.25">
      <c r="A208" s="130"/>
      <c r="B208" s="975" t="s">
        <v>423</v>
      </c>
      <c r="C208" s="976"/>
      <c r="D208" s="301">
        <v>244.52600000000001</v>
      </c>
      <c r="E208" s="126">
        <f t="shared" si="101"/>
        <v>244.42599999999999</v>
      </c>
      <c r="F208" s="127">
        <f t="shared" si="105"/>
        <v>-0.1</v>
      </c>
      <c r="G208" s="128">
        <v>7</v>
      </c>
      <c r="H208" s="128">
        <v>20</v>
      </c>
      <c r="I208" s="128">
        <f t="shared" si="106"/>
        <v>14</v>
      </c>
      <c r="J208" s="128">
        <f t="shared" si="107"/>
        <v>0</v>
      </c>
      <c r="K208" s="128"/>
      <c r="L208" s="129"/>
    </row>
    <row r="209" spans="1:13" x14ac:dyDescent="0.25">
      <c r="A209" s="130"/>
      <c r="B209" s="975" t="s">
        <v>424</v>
      </c>
      <c r="C209" s="976"/>
      <c r="D209" s="301">
        <v>244.28</v>
      </c>
      <c r="E209" s="126">
        <f t="shared" si="101"/>
        <v>244.18</v>
      </c>
      <c r="F209" s="127">
        <f t="shared" si="105"/>
        <v>-0.1</v>
      </c>
      <c r="G209" s="128">
        <v>7</v>
      </c>
      <c r="H209" s="128">
        <v>20</v>
      </c>
      <c r="I209" s="128">
        <f t="shared" si="106"/>
        <v>14</v>
      </c>
      <c r="J209" s="128">
        <f t="shared" si="107"/>
        <v>0</v>
      </c>
      <c r="K209" s="128"/>
      <c r="L209" s="129"/>
    </row>
    <row r="210" spans="1:13" x14ac:dyDescent="0.25">
      <c r="A210" s="130"/>
      <c r="B210" s="975" t="s">
        <v>425</v>
      </c>
      <c r="C210" s="976"/>
      <c r="D210" s="301">
        <v>244.21299999999999</v>
      </c>
      <c r="E210" s="126">
        <f t="shared" si="101"/>
        <v>244.113</v>
      </c>
      <c r="F210" s="127">
        <f t="shared" si="105"/>
        <v>-0.1</v>
      </c>
      <c r="G210" s="128">
        <v>7</v>
      </c>
      <c r="H210" s="128">
        <v>20</v>
      </c>
      <c r="I210" s="128">
        <f t="shared" si="106"/>
        <v>14</v>
      </c>
      <c r="J210" s="128">
        <f t="shared" si="107"/>
        <v>0</v>
      </c>
      <c r="K210" s="128"/>
      <c r="L210" s="129"/>
    </row>
    <row r="211" spans="1:13" x14ac:dyDescent="0.25">
      <c r="A211" s="130"/>
      <c r="B211" s="975" t="s">
        <v>426</v>
      </c>
      <c r="C211" s="976"/>
      <c r="D211" s="301">
        <v>244.18199999999999</v>
      </c>
      <c r="E211" s="126">
        <f t="shared" si="101"/>
        <v>244.08199999999999</v>
      </c>
      <c r="F211" s="127">
        <f t="shared" si="105"/>
        <v>-0.1</v>
      </c>
      <c r="G211" s="128">
        <v>7</v>
      </c>
      <c r="H211" s="128">
        <v>20</v>
      </c>
      <c r="I211" s="128">
        <f t="shared" si="106"/>
        <v>14</v>
      </c>
      <c r="J211" s="128">
        <f t="shared" si="107"/>
        <v>0</v>
      </c>
      <c r="K211" s="128"/>
      <c r="L211" s="129"/>
    </row>
    <row r="212" spans="1:13" x14ac:dyDescent="0.25">
      <c r="A212" s="130"/>
      <c r="B212" s="975" t="s">
        <v>427</v>
      </c>
      <c r="C212" s="976"/>
      <c r="D212" s="301">
        <v>244.05</v>
      </c>
      <c r="E212" s="126">
        <f t="shared" si="101"/>
        <v>243.95</v>
      </c>
      <c r="F212" s="127">
        <f t="shared" si="105"/>
        <v>-0.1</v>
      </c>
      <c r="G212" s="128">
        <v>7</v>
      </c>
      <c r="H212" s="128">
        <v>20</v>
      </c>
      <c r="I212" s="128">
        <f t="shared" si="106"/>
        <v>14</v>
      </c>
      <c r="J212" s="128">
        <f t="shared" si="107"/>
        <v>0</v>
      </c>
      <c r="K212" s="128"/>
      <c r="L212" s="129"/>
    </row>
    <row r="213" spans="1:13" x14ac:dyDescent="0.25">
      <c r="A213" s="130"/>
      <c r="B213" s="975" t="s">
        <v>428</v>
      </c>
      <c r="C213" s="976"/>
      <c r="D213" s="301">
        <v>244.024</v>
      </c>
      <c r="E213" s="126">
        <f t="shared" si="101"/>
        <v>243.92400000000001</v>
      </c>
      <c r="F213" s="127">
        <f t="shared" si="105"/>
        <v>-0.1</v>
      </c>
      <c r="G213" s="128">
        <v>7</v>
      </c>
      <c r="H213" s="128">
        <v>20</v>
      </c>
      <c r="I213" s="128">
        <f t="shared" si="106"/>
        <v>14</v>
      </c>
      <c r="J213" s="128">
        <f t="shared" si="107"/>
        <v>0</v>
      </c>
      <c r="K213" s="128"/>
      <c r="L213" s="129"/>
    </row>
    <row r="214" spans="1:13" x14ac:dyDescent="0.25">
      <c r="A214" s="130"/>
      <c r="B214" s="975" t="s">
        <v>429</v>
      </c>
      <c r="C214" s="976"/>
      <c r="D214" s="301">
        <v>243.89</v>
      </c>
      <c r="E214" s="126">
        <f t="shared" si="101"/>
        <v>243.79</v>
      </c>
      <c r="F214" s="127">
        <f t="shared" si="105"/>
        <v>-0.1</v>
      </c>
      <c r="G214" s="128">
        <v>7</v>
      </c>
      <c r="H214" s="128">
        <v>20</v>
      </c>
      <c r="I214" s="128">
        <f t="shared" si="106"/>
        <v>14</v>
      </c>
      <c r="J214" s="128">
        <f t="shared" si="107"/>
        <v>0</v>
      </c>
      <c r="K214" s="128"/>
      <c r="L214" s="129"/>
    </row>
    <row r="215" spans="1:13" x14ac:dyDescent="0.25">
      <c r="A215" s="130"/>
      <c r="B215" s="975" t="s">
        <v>430</v>
      </c>
      <c r="C215" s="976"/>
      <c r="D215" s="301">
        <v>243.74700000000001</v>
      </c>
      <c r="E215" s="126">
        <f t="shared" si="101"/>
        <v>243.64699999999999</v>
      </c>
      <c r="F215" s="127">
        <f t="shared" si="105"/>
        <v>-0.1</v>
      </c>
      <c r="G215" s="128">
        <v>7</v>
      </c>
      <c r="H215" s="128">
        <v>20</v>
      </c>
      <c r="I215" s="128">
        <f t="shared" si="106"/>
        <v>14</v>
      </c>
      <c r="J215" s="128">
        <f t="shared" si="107"/>
        <v>0</v>
      </c>
      <c r="K215" s="128"/>
      <c r="L215" s="129"/>
    </row>
    <row r="216" spans="1:13" x14ac:dyDescent="0.25">
      <c r="A216" s="130"/>
      <c r="B216" s="975" t="s">
        <v>431</v>
      </c>
      <c r="C216" s="976"/>
      <c r="D216" s="301">
        <v>243.482</v>
      </c>
      <c r="E216" s="126">
        <f t="shared" si="101"/>
        <v>243.38200000000001</v>
      </c>
      <c r="F216" s="127">
        <f t="shared" si="105"/>
        <v>-0.1</v>
      </c>
      <c r="G216" s="128">
        <v>7</v>
      </c>
      <c r="H216" s="128">
        <v>20</v>
      </c>
      <c r="I216" s="128">
        <f t="shared" si="106"/>
        <v>14</v>
      </c>
      <c r="J216" s="128">
        <f t="shared" si="107"/>
        <v>0</v>
      </c>
      <c r="K216" s="128"/>
      <c r="L216" s="129"/>
    </row>
    <row r="217" spans="1:13" x14ac:dyDescent="0.25">
      <c r="A217" s="130"/>
      <c r="B217" s="975" t="s">
        <v>432</v>
      </c>
      <c r="C217" s="976"/>
      <c r="D217" s="301">
        <v>243.268</v>
      </c>
      <c r="E217" s="126">
        <f t="shared" si="101"/>
        <v>243.16800000000001</v>
      </c>
      <c r="F217" s="127">
        <f t="shared" si="105"/>
        <v>-0.1</v>
      </c>
      <c r="G217" s="128">
        <v>7</v>
      </c>
      <c r="H217" s="128">
        <v>20</v>
      </c>
      <c r="I217" s="128">
        <f t="shared" si="106"/>
        <v>14</v>
      </c>
      <c r="J217" s="128">
        <f t="shared" si="107"/>
        <v>0</v>
      </c>
      <c r="K217" s="128"/>
      <c r="L217" s="129"/>
      <c r="M217" s="303"/>
    </row>
    <row r="218" spans="1:13" x14ac:dyDescent="0.25">
      <c r="A218" s="130"/>
      <c r="B218" s="975" t="s">
        <v>433</v>
      </c>
      <c r="C218" s="976"/>
      <c r="D218" s="301">
        <v>242.929</v>
      </c>
      <c r="E218" s="126">
        <f t="shared" si="101"/>
        <v>242.82900000000001</v>
      </c>
      <c r="F218" s="127">
        <f t="shared" si="105"/>
        <v>-0.1</v>
      </c>
      <c r="G218" s="128">
        <v>7</v>
      </c>
      <c r="H218" s="128">
        <v>20</v>
      </c>
      <c r="I218" s="128">
        <f t="shared" si="106"/>
        <v>14</v>
      </c>
      <c r="J218" s="128">
        <f t="shared" si="107"/>
        <v>0</v>
      </c>
      <c r="K218" s="128"/>
      <c r="L218" s="129"/>
    </row>
    <row r="219" spans="1:13" x14ac:dyDescent="0.25">
      <c r="A219" s="130"/>
      <c r="B219" s="975" t="s">
        <v>491</v>
      </c>
      <c r="C219" s="976"/>
      <c r="D219" s="301">
        <v>242.363</v>
      </c>
      <c r="E219" s="126">
        <f t="shared" si="101"/>
        <v>242.26300000000001</v>
      </c>
      <c r="F219" s="127">
        <f t="shared" si="105"/>
        <v>-0.1</v>
      </c>
      <c r="G219" s="128">
        <v>7</v>
      </c>
      <c r="H219" s="128">
        <v>20</v>
      </c>
      <c r="I219" s="128">
        <f t="shared" si="106"/>
        <v>14</v>
      </c>
      <c r="J219" s="128">
        <f t="shared" si="107"/>
        <v>0</v>
      </c>
      <c r="K219" s="128"/>
      <c r="L219" s="129"/>
    </row>
    <row r="220" spans="1:13" x14ac:dyDescent="0.25">
      <c r="A220" s="130"/>
      <c r="B220" s="975" t="s">
        <v>492</v>
      </c>
      <c r="C220" s="976"/>
      <c r="D220" s="301">
        <v>241.94800000000001</v>
      </c>
      <c r="E220" s="126">
        <f t="shared" si="101"/>
        <v>241.84800000000001</v>
      </c>
      <c r="F220" s="127">
        <f t="shared" si="105"/>
        <v>-0.1</v>
      </c>
      <c r="G220" s="128">
        <v>7</v>
      </c>
      <c r="H220" s="128">
        <v>20</v>
      </c>
      <c r="I220" s="128">
        <f t="shared" si="106"/>
        <v>14</v>
      </c>
      <c r="J220" s="128">
        <f t="shared" si="107"/>
        <v>0</v>
      </c>
      <c r="K220" s="128"/>
      <c r="L220" s="129"/>
    </row>
    <row r="221" spans="1:13" x14ac:dyDescent="0.25">
      <c r="A221" s="130"/>
      <c r="B221" s="975" t="s">
        <v>493</v>
      </c>
      <c r="C221" s="976"/>
      <c r="D221" s="301">
        <v>241.119</v>
      </c>
      <c r="E221" s="126">
        <f t="shared" si="101"/>
        <v>241.01900000000001</v>
      </c>
      <c r="F221" s="127">
        <f t="shared" si="105"/>
        <v>-0.1</v>
      </c>
      <c r="G221" s="128">
        <v>7</v>
      </c>
      <c r="H221" s="128">
        <v>20</v>
      </c>
      <c r="I221" s="128">
        <f t="shared" si="106"/>
        <v>14</v>
      </c>
      <c r="J221" s="128">
        <f t="shared" si="107"/>
        <v>0</v>
      </c>
      <c r="K221" s="128"/>
      <c r="L221" s="129"/>
    </row>
    <row r="222" spans="1:13" x14ac:dyDescent="0.25">
      <c r="A222" s="130"/>
      <c r="B222" s="975" t="s">
        <v>494</v>
      </c>
      <c r="C222" s="976"/>
      <c r="D222" s="301">
        <v>240.751</v>
      </c>
      <c r="E222" s="126">
        <f t="shared" si="101"/>
        <v>240.65100000000001</v>
      </c>
      <c r="F222" s="127">
        <f t="shared" si="105"/>
        <v>-0.1</v>
      </c>
      <c r="G222" s="128">
        <v>7</v>
      </c>
      <c r="H222" s="128">
        <v>20</v>
      </c>
      <c r="I222" s="128">
        <f t="shared" si="106"/>
        <v>14</v>
      </c>
      <c r="J222" s="128">
        <f t="shared" si="107"/>
        <v>0</v>
      </c>
      <c r="K222" s="128"/>
      <c r="L222" s="129"/>
    </row>
    <row r="223" spans="1:13" x14ac:dyDescent="0.25">
      <c r="A223" s="130"/>
      <c r="B223" s="993" t="s">
        <v>495</v>
      </c>
      <c r="C223" s="994"/>
      <c r="D223" s="359">
        <v>240.34299999999999</v>
      </c>
      <c r="E223" s="126">
        <f t="shared" si="101"/>
        <v>240.24299999999999</v>
      </c>
      <c r="F223" s="127">
        <f t="shared" si="105"/>
        <v>-0.1</v>
      </c>
      <c r="G223" s="128">
        <v>7</v>
      </c>
      <c r="H223" s="128">
        <v>20</v>
      </c>
      <c r="I223" s="128">
        <f t="shared" si="106"/>
        <v>14</v>
      </c>
      <c r="J223" s="128">
        <f t="shared" si="107"/>
        <v>0</v>
      </c>
      <c r="K223" s="128"/>
      <c r="L223" s="129"/>
    </row>
    <row r="224" spans="1:13" x14ac:dyDescent="0.25">
      <c r="A224" s="130"/>
      <c r="B224" s="975" t="s">
        <v>496</v>
      </c>
      <c r="C224" s="976"/>
      <c r="D224" s="301">
        <v>239.95099999999999</v>
      </c>
      <c r="E224" s="126">
        <f t="shared" si="101"/>
        <v>239.851</v>
      </c>
      <c r="F224" s="127">
        <f t="shared" si="105"/>
        <v>-0.1</v>
      </c>
      <c r="G224" s="128">
        <v>7</v>
      </c>
      <c r="H224" s="128">
        <v>20</v>
      </c>
      <c r="I224" s="128">
        <f t="shared" si="106"/>
        <v>14</v>
      </c>
      <c r="J224" s="128">
        <f t="shared" si="107"/>
        <v>0</v>
      </c>
      <c r="K224" s="128"/>
      <c r="L224" s="129"/>
    </row>
    <row r="225" spans="1:14" x14ac:dyDescent="0.25">
      <c r="A225" s="130"/>
      <c r="B225" s="975" t="s">
        <v>497</v>
      </c>
      <c r="C225" s="976"/>
      <c r="D225" s="301">
        <v>239.577</v>
      </c>
      <c r="E225" s="126">
        <f t="shared" si="101"/>
        <v>239.477</v>
      </c>
      <c r="F225" s="127">
        <f t="shared" si="105"/>
        <v>-0.1</v>
      </c>
      <c r="G225" s="128">
        <v>7</v>
      </c>
      <c r="H225" s="128">
        <v>20</v>
      </c>
      <c r="I225" s="128">
        <f t="shared" si="106"/>
        <v>14</v>
      </c>
      <c r="J225" s="128">
        <f t="shared" si="107"/>
        <v>0</v>
      </c>
      <c r="K225" s="128"/>
      <c r="L225" s="129"/>
    </row>
    <row r="226" spans="1:14" x14ac:dyDescent="0.25">
      <c r="A226" s="130"/>
      <c r="B226" s="975" t="s">
        <v>498</v>
      </c>
      <c r="C226" s="976"/>
      <c r="D226" s="301">
        <v>239.10599999999999</v>
      </c>
      <c r="E226" s="126">
        <f t="shared" si="101"/>
        <v>239.006</v>
      </c>
      <c r="F226" s="127">
        <f t="shared" si="105"/>
        <v>-0.1</v>
      </c>
      <c r="G226" s="128">
        <v>7</v>
      </c>
      <c r="H226" s="128">
        <v>20</v>
      </c>
      <c r="I226" s="128">
        <f t="shared" si="106"/>
        <v>14</v>
      </c>
      <c r="J226" s="128">
        <f t="shared" si="107"/>
        <v>0</v>
      </c>
      <c r="K226" s="128"/>
      <c r="L226" s="129"/>
    </row>
    <row r="227" spans="1:14" x14ac:dyDescent="0.25">
      <c r="A227" s="130"/>
      <c r="B227" s="975" t="s">
        <v>499</v>
      </c>
      <c r="C227" s="976"/>
      <c r="D227" s="301">
        <v>238.512</v>
      </c>
      <c r="E227" s="126">
        <f t="shared" si="101"/>
        <v>238.41200000000001</v>
      </c>
      <c r="F227" s="127">
        <f t="shared" si="105"/>
        <v>-0.1</v>
      </c>
      <c r="G227" s="128">
        <v>7</v>
      </c>
      <c r="H227" s="128">
        <v>20</v>
      </c>
      <c r="I227" s="128">
        <f t="shared" si="106"/>
        <v>14</v>
      </c>
      <c r="J227" s="128">
        <f t="shared" si="107"/>
        <v>0</v>
      </c>
      <c r="K227" s="128"/>
      <c r="L227" s="129"/>
    </row>
    <row r="228" spans="1:14" x14ac:dyDescent="0.25">
      <c r="A228" s="130"/>
      <c r="B228" s="975" t="s">
        <v>500</v>
      </c>
      <c r="C228" s="976"/>
      <c r="D228" s="301">
        <v>237.941</v>
      </c>
      <c r="E228" s="126">
        <f t="shared" si="101"/>
        <v>237.84100000000001</v>
      </c>
      <c r="F228" s="127">
        <f t="shared" si="105"/>
        <v>-0.1</v>
      </c>
      <c r="G228" s="128">
        <v>7</v>
      </c>
      <c r="H228" s="128">
        <v>20</v>
      </c>
      <c r="I228" s="128">
        <f t="shared" si="106"/>
        <v>14</v>
      </c>
      <c r="J228" s="128">
        <f t="shared" si="107"/>
        <v>0</v>
      </c>
      <c r="K228" s="128"/>
      <c r="L228" s="129"/>
    </row>
    <row r="229" spans="1:14" x14ac:dyDescent="0.25">
      <c r="A229" s="130"/>
      <c r="B229" s="975" t="s">
        <v>501</v>
      </c>
      <c r="C229" s="976"/>
      <c r="D229" s="301">
        <v>237.453</v>
      </c>
      <c r="E229" s="126">
        <f t="shared" si="101"/>
        <v>237.35300000000001</v>
      </c>
      <c r="F229" s="127">
        <f t="shared" si="105"/>
        <v>-0.1</v>
      </c>
      <c r="G229" s="128">
        <v>7</v>
      </c>
      <c r="H229" s="128">
        <v>20</v>
      </c>
      <c r="I229" s="128">
        <f t="shared" si="106"/>
        <v>14</v>
      </c>
      <c r="J229" s="128">
        <f t="shared" si="107"/>
        <v>0</v>
      </c>
      <c r="K229" s="128"/>
      <c r="L229" s="129"/>
    </row>
    <row r="230" spans="1:14" x14ac:dyDescent="0.25">
      <c r="A230" s="130"/>
      <c r="B230" s="975" t="s">
        <v>502</v>
      </c>
      <c r="C230" s="976"/>
      <c r="D230" s="301">
        <v>237.15199999999999</v>
      </c>
      <c r="E230" s="126">
        <f t="shared" si="101"/>
        <v>237.05199999999999</v>
      </c>
      <c r="F230" s="127">
        <f t="shared" si="105"/>
        <v>-0.1</v>
      </c>
      <c r="G230" s="128">
        <v>7</v>
      </c>
      <c r="H230" s="128">
        <v>20</v>
      </c>
      <c r="I230" s="128">
        <f t="shared" si="106"/>
        <v>14</v>
      </c>
      <c r="J230" s="128">
        <f t="shared" si="107"/>
        <v>0</v>
      </c>
      <c r="K230" s="128"/>
      <c r="L230" s="129"/>
    </row>
    <row r="231" spans="1:14" x14ac:dyDescent="0.25">
      <c r="A231" s="130"/>
      <c r="B231" s="975" t="s">
        <v>503</v>
      </c>
      <c r="C231" s="976"/>
      <c r="D231" s="301">
        <v>236.346</v>
      </c>
      <c r="E231" s="126">
        <f t="shared" si="101"/>
        <v>236.24600000000001</v>
      </c>
      <c r="F231" s="127">
        <f t="shared" si="105"/>
        <v>-0.1</v>
      </c>
      <c r="G231" s="128">
        <v>7</v>
      </c>
      <c r="H231" s="128">
        <v>20</v>
      </c>
      <c r="I231" s="128">
        <f t="shared" si="106"/>
        <v>14</v>
      </c>
      <c r="J231" s="128">
        <f t="shared" si="107"/>
        <v>0</v>
      </c>
      <c r="K231" s="128"/>
      <c r="L231" s="129"/>
    </row>
    <row r="232" spans="1:14" x14ac:dyDescent="0.25">
      <c r="A232" s="130"/>
      <c r="B232" s="975" t="s">
        <v>504</v>
      </c>
      <c r="C232" s="976"/>
      <c r="D232" s="301">
        <v>236.727</v>
      </c>
      <c r="E232" s="126">
        <f t="shared" si="101"/>
        <v>236.62700000000001</v>
      </c>
      <c r="F232" s="127">
        <f t="shared" si="105"/>
        <v>-0.1</v>
      </c>
      <c r="G232" s="128">
        <v>7</v>
      </c>
      <c r="H232" s="128">
        <v>20</v>
      </c>
      <c r="I232" s="128">
        <f t="shared" si="106"/>
        <v>14</v>
      </c>
      <c r="J232" s="128">
        <f t="shared" si="107"/>
        <v>0</v>
      </c>
      <c r="K232" s="128"/>
      <c r="L232" s="129"/>
    </row>
    <row r="233" spans="1:14" x14ac:dyDescent="0.25">
      <c r="A233" s="130"/>
      <c r="B233" s="975" t="s">
        <v>505</v>
      </c>
      <c r="C233" s="976"/>
      <c r="D233" s="301">
        <v>235.25700000000001</v>
      </c>
      <c r="E233" s="126">
        <f t="shared" si="101"/>
        <v>235.15700000000001</v>
      </c>
      <c r="F233" s="127">
        <f t="shared" si="105"/>
        <v>-0.1</v>
      </c>
      <c r="G233" s="128">
        <v>7</v>
      </c>
      <c r="H233" s="128">
        <v>20</v>
      </c>
      <c r="I233" s="128">
        <f t="shared" si="106"/>
        <v>14</v>
      </c>
      <c r="J233" s="128">
        <f t="shared" si="107"/>
        <v>0</v>
      </c>
      <c r="K233" s="128"/>
      <c r="L233" s="129"/>
    </row>
    <row r="234" spans="1:14" x14ac:dyDescent="0.25">
      <c r="A234" s="130"/>
      <c r="B234" s="975" t="s">
        <v>506</v>
      </c>
      <c r="C234" s="976"/>
      <c r="D234" s="301">
        <v>234.52099999999999</v>
      </c>
      <c r="E234" s="126">
        <f t="shared" si="101"/>
        <v>234.42099999999999</v>
      </c>
      <c r="F234" s="127">
        <f t="shared" si="105"/>
        <v>-0.1</v>
      </c>
      <c r="G234" s="128">
        <v>7</v>
      </c>
      <c r="H234" s="128">
        <v>20</v>
      </c>
      <c r="I234" s="128">
        <f t="shared" si="106"/>
        <v>14</v>
      </c>
      <c r="J234" s="128">
        <f t="shared" si="107"/>
        <v>0</v>
      </c>
      <c r="K234" s="128"/>
      <c r="L234" s="129"/>
    </row>
    <row r="235" spans="1:14" x14ac:dyDescent="0.25">
      <c r="A235" s="130"/>
      <c r="B235" s="975" t="s">
        <v>507</v>
      </c>
      <c r="C235" s="976"/>
      <c r="D235" s="301">
        <v>234.167</v>
      </c>
      <c r="E235" s="126">
        <f t="shared" si="101"/>
        <v>234.06700000000001</v>
      </c>
      <c r="F235" s="127">
        <f t="shared" si="105"/>
        <v>-0.1</v>
      </c>
      <c r="G235" s="128">
        <v>7</v>
      </c>
      <c r="H235" s="128">
        <v>20</v>
      </c>
      <c r="I235" s="128">
        <f t="shared" si="106"/>
        <v>14</v>
      </c>
      <c r="J235" s="128">
        <f t="shared" si="107"/>
        <v>0</v>
      </c>
      <c r="K235" s="128"/>
      <c r="L235" s="129"/>
    </row>
    <row r="236" spans="1:14" x14ac:dyDescent="0.25">
      <c r="A236" s="130"/>
      <c r="B236" s="975" t="s">
        <v>508</v>
      </c>
      <c r="C236" s="976"/>
      <c r="D236" s="301">
        <v>233.84100000000001</v>
      </c>
      <c r="E236" s="126">
        <f t="shared" si="101"/>
        <v>233.74100000000001</v>
      </c>
      <c r="F236" s="127">
        <f t="shared" si="105"/>
        <v>-0.1</v>
      </c>
      <c r="G236" s="128">
        <v>7</v>
      </c>
      <c r="H236" s="128">
        <v>20</v>
      </c>
      <c r="I236" s="128">
        <f t="shared" si="106"/>
        <v>14</v>
      </c>
      <c r="J236" s="128">
        <f t="shared" si="107"/>
        <v>0</v>
      </c>
      <c r="K236" s="128"/>
      <c r="L236" s="129"/>
      <c r="N236" s="303"/>
    </row>
    <row r="237" spans="1:14" x14ac:dyDescent="0.25">
      <c r="A237" s="130"/>
      <c r="B237" s="975" t="s">
        <v>509</v>
      </c>
      <c r="C237" s="976"/>
      <c r="D237" s="301">
        <v>233.631</v>
      </c>
      <c r="E237" s="126">
        <f t="shared" si="101"/>
        <v>233.53100000000001</v>
      </c>
      <c r="F237" s="127">
        <f t="shared" si="105"/>
        <v>-0.1</v>
      </c>
      <c r="G237" s="128">
        <v>7</v>
      </c>
      <c r="H237" s="128">
        <v>20</v>
      </c>
      <c r="I237" s="128">
        <f t="shared" si="106"/>
        <v>14</v>
      </c>
      <c r="J237" s="128">
        <f t="shared" si="107"/>
        <v>0</v>
      </c>
      <c r="K237" s="128"/>
      <c r="L237" s="129"/>
    </row>
    <row r="238" spans="1:14" x14ac:dyDescent="0.25">
      <c r="A238" s="130"/>
      <c r="B238" s="975" t="s">
        <v>510</v>
      </c>
      <c r="C238" s="976"/>
      <c r="D238" s="301">
        <v>233.39099999999999</v>
      </c>
      <c r="E238" s="126">
        <f t="shared" ref="E238:E246" si="108">D238-0.1</f>
        <v>233.291</v>
      </c>
      <c r="F238" s="127">
        <f t="shared" si="105"/>
        <v>-0.1</v>
      </c>
      <c r="G238" s="128">
        <v>7</v>
      </c>
      <c r="H238" s="128">
        <v>20</v>
      </c>
      <c r="I238" s="128">
        <f t="shared" si="106"/>
        <v>14</v>
      </c>
      <c r="J238" s="128">
        <f t="shared" si="107"/>
        <v>0</v>
      </c>
      <c r="K238" s="128"/>
      <c r="L238" s="129"/>
      <c r="M238" s="303"/>
    </row>
    <row r="239" spans="1:14" x14ac:dyDescent="0.25">
      <c r="A239" s="130"/>
      <c r="B239" s="975" t="s">
        <v>511</v>
      </c>
      <c r="C239" s="976"/>
      <c r="D239" s="301">
        <v>233.26499999999999</v>
      </c>
      <c r="E239" s="126">
        <f t="shared" si="108"/>
        <v>233.16499999999999</v>
      </c>
      <c r="F239" s="127">
        <f t="shared" si="105"/>
        <v>-0.1</v>
      </c>
      <c r="G239" s="128">
        <v>7</v>
      </c>
      <c r="H239" s="128">
        <v>20</v>
      </c>
      <c r="I239" s="128">
        <f t="shared" si="106"/>
        <v>14</v>
      </c>
      <c r="J239" s="128">
        <f t="shared" si="107"/>
        <v>0</v>
      </c>
      <c r="K239" s="128"/>
      <c r="L239" s="129"/>
    </row>
    <row r="240" spans="1:14" x14ac:dyDescent="0.25">
      <c r="A240" s="130"/>
      <c r="B240" s="975" t="s">
        <v>512</v>
      </c>
      <c r="C240" s="976"/>
      <c r="D240" s="301">
        <v>233.26300000000001</v>
      </c>
      <c r="E240" s="126">
        <f t="shared" si="108"/>
        <v>233.16300000000001</v>
      </c>
      <c r="F240" s="127">
        <f t="shared" si="105"/>
        <v>-0.1</v>
      </c>
      <c r="G240" s="128">
        <v>7</v>
      </c>
      <c r="H240" s="128">
        <v>20</v>
      </c>
      <c r="I240" s="128">
        <f t="shared" si="106"/>
        <v>14</v>
      </c>
      <c r="J240" s="128">
        <f t="shared" si="107"/>
        <v>0</v>
      </c>
      <c r="K240" s="128"/>
      <c r="L240" s="129"/>
    </row>
    <row r="241" spans="1:12" x14ac:dyDescent="0.25">
      <c r="A241" s="130"/>
      <c r="B241" s="975" t="s">
        <v>513</v>
      </c>
      <c r="C241" s="976"/>
      <c r="D241" s="301">
        <v>233</v>
      </c>
      <c r="E241" s="126">
        <f t="shared" si="108"/>
        <v>232.9</v>
      </c>
      <c r="F241" s="127">
        <f t="shared" si="105"/>
        <v>-0.1</v>
      </c>
      <c r="G241" s="128">
        <v>7</v>
      </c>
      <c r="H241" s="128">
        <v>20</v>
      </c>
      <c r="I241" s="128">
        <f t="shared" si="106"/>
        <v>14</v>
      </c>
      <c r="J241" s="128">
        <f t="shared" si="107"/>
        <v>0</v>
      </c>
      <c r="K241" s="128"/>
      <c r="L241" s="129"/>
    </row>
    <row r="242" spans="1:12" x14ac:dyDescent="0.25">
      <c r="A242" s="130"/>
      <c r="B242" s="975" t="s">
        <v>514</v>
      </c>
      <c r="C242" s="976"/>
      <c r="D242" s="301">
        <v>232.36099999999999</v>
      </c>
      <c r="E242" s="126">
        <f t="shared" si="108"/>
        <v>232.261</v>
      </c>
      <c r="F242" s="127">
        <f t="shared" si="105"/>
        <v>-0.1</v>
      </c>
      <c r="G242" s="128">
        <v>7</v>
      </c>
      <c r="H242" s="128">
        <v>20</v>
      </c>
      <c r="I242" s="128">
        <f t="shared" si="106"/>
        <v>14</v>
      </c>
      <c r="J242" s="128">
        <f t="shared" si="107"/>
        <v>0</v>
      </c>
      <c r="K242" s="128"/>
      <c r="L242" s="129"/>
    </row>
    <row r="243" spans="1:12" x14ac:dyDescent="0.25">
      <c r="A243" s="130"/>
      <c r="B243" s="975" t="s">
        <v>515</v>
      </c>
      <c r="C243" s="976"/>
      <c r="D243" s="301">
        <v>231.07300000000001</v>
      </c>
      <c r="E243" s="126">
        <f t="shared" si="108"/>
        <v>230.97300000000001</v>
      </c>
      <c r="F243" s="127">
        <f t="shared" si="105"/>
        <v>-0.1</v>
      </c>
      <c r="G243" s="128">
        <v>7</v>
      </c>
      <c r="H243" s="128">
        <v>20</v>
      </c>
      <c r="I243" s="128">
        <f t="shared" si="106"/>
        <v>14</v>
      </c>
      <c r="J243" s="128">
        <f t="shared" si="107"/>
        <v>0</v>
      </c>
      <c r="K243" s="128"/>
      <c r="L243" s="129"/>
    </row>
    <row r="244" spans="1:12" x14ac:dyDescent="0.25">
      <c r="A244" s="130"/>
      <c r="B244" s="975" t="s">
        <v>516</v>
      </c>
      <c r="C244" s="976"/>
      <c r="D244" s="301">
        <v>229.36199999999999</v>
      </c>
      <c r="E244" s="126">
        <f t="shared" si="108"/>
        <v>229.262</v>
      </c>
      <c r="F244" s="127">
        <f t="shared" si="105"/>
        <v>-0.1</v>
      </c>
      <c r="G244" s="128">
        <v>7</v>
      </c>
      <c r="H244" s="128">
        <v>20</v>
      </c>
      <c r="I244" s="128">
        <f t="shared" si="106"/>
        <v>14</v>
      </c>
      <c r="J244" s="128">
        <f t="shared" si="107"/>
        <v>0</v>
      </c>
      <c r="K244" s="128"/>
      <c r="L244" s="129"/>
    </row>
    <row r="245" spans="1:12" x14ac:dyDescent="0.25">
      <c r="A245" s="130"/>
      <c r="B245" s="975" t="s">
        <v>517</v>
      </c>
      <c r="C245" s="976"/>
      <c r="D245" s="301">
        <v>229.125</v>
      </c>
      <c r="E245" s="126">
        <f t="shared" si="108"/>
        <v>229.02500000000001</v>
      </c>
      <c r="F245" s="127">
        <f t="shared" si="105"/>
        <v>-0.1</v>
      </c>
      <c r="G245" s="128">
        <v>7</v>
      </c>
      <c r="H245" s="128">
        <v>20</v>
      </c>
      <c r="I245" s="128">
        <f t="shared" si="106"/>
        <v>14</v>
      </c>
      <c r="J245" s="128">
        <f t="shared" si="107"/>
        <v>0</v>
      </c>
      <c r="K245" s="128"/>
      <c r="L245" s="129"/>
    </row>
    <row r="246" spans="1:12" x14ac:dyDescent="0.25">
      <c r="A246" s="130"/>
      <c r="B246" s="975" t="s">
        <v>518</v>
      </c>
      <c r="C246" s="976"/>
      <c r="D246" s="301">
        <v>229</v>
      </c>
      <c r="E246" s="126">
        <f t="shared" si="108"/>
        <v>228.9</v>
      </c>
      <c r="F246" s="127">
        <f t="shared" si="105"/>
        <v>-0.1</v>
      </c>
      <c r="G246" s="128">
        <v>7</v>
      </c>
      <c r="H246" s="128">
        <v>13.72</v>
      </c>
      <c r="I246" s="128">
        <f t="shared" si="106"/>
        <v>9.6</v>
      </c>
      <c r="J246" s="128">
        <f t="shared" si="107"/>
        <v>0</v>
      </c>
      <c r="K246" s="128"/>
      <c r="L246" s="129"/>
    </row>
    <row r="247" spans="1:12" ht="15.75" thickBot="1" x14ac:dyDescent="0.3">
      <c r="A247" s="195"/>
      <c r="B247" s="196"/>
      <c r="C247" s="197"/>
      <c r="D247" s="198"/>
      <c r="E247" s="199"/>
      <c r="F247" s="200"/>
      <c r="G247" s="199"/>
      <c r="H247" s="201">
        <f>SUM(H173:H246)</f>
        <v>1453.72</v>
      </c>
      <c r="I247" s="201">
        <f>SUM(I173:I246)</f>
        <v>1017.6</v>
      </c>
      <c r="J247" s="201">
        <f>SUM(J173:J246)</f>
        <v>0</v>
      </c>
      <c r="K247" s="202"/>
      <c r="L247" s="203"/>
    </row>
    <row r="248" spans="1:12" x14ac:dyDescent="0.25">
      <c r="A248" s="175" t="s">
        <v>315</v>
      </c>
      <c r="B248" s="961" t="s">
        <v>457</v>
      </c>
      <c r="C248" s="962"/>
      <c r="D248" s="176"/>
      <c r="E248" s="177"/>
      <c r="F248" s="178"/>
      <c r="G248" s="177"/>
      <c r="H248" s="177"/>
      <c r="I248" s="179">
        <f>I263</f>
        <v>123.83</v>
      </c>
      <c r="J248" s="180">
        <f>J263</f>
        <v>0</v>
      </c>
      <c r="K248" s="148">
        <f>I248</f>
        <v>123.83</v>
      </c>
      <c r="L248" s="149"/>
    </row>
    <row r="249" spans="1:12" x14ac:dyDescent="0.25">
      <c r="A249" s="123"/>
      <c r="B249" s="977" t="s">
        <v>217</v>
      </c>
      <c r="C249" s="978"/>
      <c r="D249" s="126">
        <v>225.97499999999999</v>
      </c>
      <c r="E249" s="126">
        <f>D249-0.1</f>
        <v>225.875</v>
      </c>
      <c r="F249" s="127">
        <f t="shared" ref="F249:F262" si="109">E249-D249</f>
        <v>-0.1</v>
      </c>
      <c r="G249" s="128">
        <v>5</v>
      </c>
      <c r="H249" s="128">
        <v>0</v>
      </c>
      <c r="I249" s="128">
        <f t="shared" ref="I249:I262" si="110">IF(F249&gt;0,0,(F249*G249*H249)*-1)</f>
        <v>0</v>
      </c>
      <c r="J249" s="128">
        <f t="shared" ref="J249:J262" si="111">IF(F249&gt;0,F249*G249*H249,0)</f>
        <v>0</v>
      </c>
      <c r="K249" s="128"/>
      <c r="L249" s="129"/>
    </row>
    <row r="250" spans="1:12" x14ac:dyDescent="0.25">
      <c r="A250" s="130"/>
      <c r="B250" s="975" t="s">
        <v>218</v>
      </c>
      <c r="C250" s="976"/>
      <c r="D250" s="126">
        <v>226.51300000000001</v>
      </c>
      <c r="E250" s="126">
        <f t="shared" ref="E250:E262" si="112">D250-0.1</f>
        <v>226.41300000000001</v>
      </c>
      <c r="F250" s="127">
        <f t="shared" si="109"/>
        <v>-0.1</v>
      </c>
      <c r="G250" s="128">
        <v>5</v>
      </c>
      <c r="H250" s="128">
        <v>20</v>
      </c>
      <c r="I250" s="128">
        <f t="shared" si="110"/>
        <v>10</v>
      </c>
      <c r="J250" s="128">
        <f t="shared" si="111"/>
        <v>0</v>
      </c>
      <c r="K250" s="128"/>
      <c r="L250" s="129"/>
    </row>
    <row r="251" spans="1:12" x14ac:dyDescent="0.25">
      <c r="A251" s="130"/>
      <c r="B251" s="975" t="s">
        <v>219</v>
      </c>
      <c r="C251" s="976"/>
      <c r="D251" s="126">
        <v>229.751</v>
      </c>
      <c r="E251" s="126">
        <f t="shared" si="112"/>
        <v>229.65100000000001</v>
      </c>
      <c r="F251" s="127">
        <f t="shared" si="109"/>
        <v>-0.1</v>
      </c>
      <c r="G251" s="128">
        <v>5</v>
      </c>
      <c r="H251" s="128">
        <v>20</v>
      </c>
      <c r="I251" s="128">
        <f t="shared" si="110"/>
        <v>10</v>
      </c>
      <c r="J251" s="128">
        <f t="shared" si="111"/>
        <v>0</v>
      </c>
      <c r="K251" s="128"/>
      <c r="L251" s="129"/>
    </row>
    <row r="252" spans="1:12" x14ac:dyDescent="0.25">
      <c r="A252" s="130"/>
      <c r="B252" s="975" t="s">
        <v>220</v>
      </c>
      <c r="C252" s="976"/>
      <c r="D252" s="126">
        <v>231.733</v>
      </c>
      <c r="E252" s="126">
        <f t="shared" si="112"/>
        <v>231.63300000000001</v>
      </c>
      <c r="F252" s="127">
        <f t="shared" si="109"/>
        <v>-0.1</v>
      </c>
      <c r="G252" s="128">
        <v>5</v>
      </c>
      <c r="H252" s="128">
        <v>20</v>
      </c>
      <c r="I252" s="128">
        <f t="shared" si="110"/>
        <v>10</v>
      </c>
      <c r="J252" s="128">
        <f t="shared" si="111"/>
        <v>0</v>
      </c>
      <c r="K252" s="128"/>
      <c r="L252" s="129"/>
    </row>
    <row r="253" spans="1:12" x14ac:dyDescent="0.25">
      <c r="A253" s="130"/>
      <c r="B253" s="975" t="s">
        <v>221</v>
      </c>
      <c r="C253" s="976"/>
      <c r="D253" s="126">
        <v>234</v>
      </c>
      <c r="E253" s="126">
        <f t="shared" si="112"/>
        <v>233.9</v>
      </c>
      <c r="F253" s="127">
        <f t="shared" si="109"/>
        <v>-0.1</v>
      </c>
      <c r="G253" s="128">
        <v>5</v>
      </c>
      <c r="H253" s="128">
        <v>20</v>
      </c>
      <c r="I253" s="128">
        <f t="shared" si="110"/>
        <v>10</v>
      </c>
      <c r="J253" s="128">
        <f t="shared" si="111"/>
        <v>0</v>
      </c>
      <c r="K253" s="128"/>
      <c r="L253" s="129"/>
    </row>
    <row r="254" spans="1:12" x14ac:dyDescent="0.25">
      <c r="A254" s="130"/>
      <c r="B254" s="975" t="s">
        <v>222</v>
      </c>
      <c r="C254" s="976"/>
      <c r="D254" s="126">
        <v>235.32</v>
      </c>
      <c r="E254" s="126">
        <f t="shared" si="112"/>
        <v>235.22</v>
      </c>
      <c r="F254" s="127">
        <f t="shared" si="109"/>
        <v>-0.1</v>
      </c>
      <c r="G254" s="128">
        <v>5</v>
      </c>
      <c r="H254" s="128">
        <v>20</v>
      </c>
      <c r="I254" s="128">
        <f t="shared" si="110"/>
        <v>10</v>
      </c>
      <c r="J254" s="128">
        <f t="shared" si="111"/>
        <v>0</v>
      </c>
      <c r="K254" s="128"/>
      <c r="L254" s="129"/>
    </row>
    <row r="255" spans="1:12" ht="16.149999999999999" customHeight="1" x14ac:dyDescent="0.25">
      <c r="A255" s="130"/>
      <c r="B255" s="975" t="s">
        <v>223</v>
      </c>
      <c r="C255" s="976"/>
      <c r="D255" s="126">
        <v>236.59399999999999</v>
      </c>
      <c r="E255" s="126">
        <f t="shared" si="112"/>
        <v>236.494</v>
      </c>
      <c r="F255" s="127">
        <f t="shared" si="109"/>
        <v>-0.1</v>
      </c>
      <c r="G255" s="128">
        <v>5</v>
      </c>
      <c r="H255" s="128">
        <v>20</v>
      </c>
      <c r="I255" s="128">
        <f t="shared" si="110"/>
        <v>10</v>
      </c>
      <c r="J255" s="128">
        <f t="shared" si="111"/>
        <v>0</v>
      </c>
      <c r="K255" s="128"/>
      <c r="L255" s="129"/>
    </row>
    <row r="256" spans="1:12" x14ac:dyDescent="0.25">
      <c r="A256" s="130"/>
      <c r="B256" s="975" t="s">
        <v>224</v>
      </c>
      <c r="C256" s="976"/>
      <c r="D256" s="126">
        <v>236.792</v>
      </c>
      <c r="E256" s="126">
        <f t="shared" si="112"/>
        <v>236.69200000000001</v>
      </c>
      <c r="F256" s="127">
        <f t="shared" ref="F256:F261" si="113">E256-D256</f>
        <v>-0.1</v>
      </c>
      <c r="G256" s="128">
        <v>5</v>
      </c>
      <c r="H256" s="128">
        <v>20</v>
      </c>
      <c r="I256" s="128">
        <f t="shared" ref="I256:I261" si="114">IF(F256&gt;0,0,(F256*G256*H256)*-1)</f>
        <v>10</v>
      </c>
      <c r="J256" s="128">
        <f t="shared" ref="J256:J261" si="115">IF(F256&gt;0,F256*G256*H256,0)</f>
        <v>0</v>
      </c>
      <c r="K256" s="128"/>
      <c r="L256" s="129"/>
    </row>
    <row r="257" spans="1:14" x14ac:dyDescent="0.25">
      <c r="A257" s="130"/>
      <c r="B257" s="975" t="s">
        <v>225</v>
      </c>
      <c r="C257" s="976"/>
      <c r="D257" s="126">
        <v>236.75</v>
      </c>
      <c r="E257" s="126">
        <f t="shared" si="112"/>
        <v>236.65</v>
      </c>
      <c r="F257" s="127">
        <f t="shared" si="113"/>
        <v>-0.1</v>
      </c>
      <c r="G257" s="128">
        <v>5</v>
      </c>
      <c r="H257" s="128">
        <v>20</v>
      </c>
      <c r="I257" s="128">
        <f t="shared" si="114"/>
        <v>10</v>
      </c>
      <c r="J257" s="128">
        <f t="shared" si="115"/>
        <v>0</v>
      </c>
      <c r="K257" s="128"/>
      <c r="L257" s="129"/>
      <c r="N257" s="303"/>
    </row>
    <row r="258" spans="1:14" x14ac:dyDescent="0.25">
      <c r="A258" s="130"/>
      <c r="B258" s="975" t="s">
        <v>226</v>
      </c>
      <c r="C258" s="976"/>
      <c r="D258" s="126">
        <v>236.87700000000001</v>
      </c>
      <c r="E258" s="126">
        <f t="shared" si="112"/>
        <v>236.77699999999999</v>
      </c>
      <c r="F258" s="127">
        <f t="shared" si="113"/>
        <v>-0.1</v>
      </c>
      <c r="G258" s="128">
        <v>5</v>
      </c>
      <c r="H258" s="128">
        <v>20</v>
      </c>
      <c r="I258" s="128">
        <f t="shared" si="114"/>
        <v>10</v>
      </c>
      <c r="J258" s="128">
        <f t="shared" si="115"/>
        <v>0</v>
      </c>
      <c r="K258" s="128"/>
      <c r="L258" s="129"/>
    </row>
    <row r="259" spans="1:14" x14ac:dyDescent="0.25">
      <c r="A259" s="130"/>
      <c r="B259" s="975" t="s">
        <v>227</v>
      </c>
      <c r="C259" s="976"/>
      <c r="D259" s="126">
        <v>236.90600000000001</v>
      </c>
      <c r="E259" s="126">
        <f t="shared" si="112"/>
        <v>236.80600000000001</v>
      </c>
      <c r="F259" s="127">
        <f t="shared" si="113"/>
        <v>-0.1</v>
      </c>
      <c r="G259" s="128">
        <v>5</v>
      </c>
      <c r="H259" s="128">
        <v>20</v>
      </c>
      <c r="I259" s="128">
        <f t="shared" si="114"/>
        <v>10</v>
      </c>
      <c r="J259" s="128">
        <f t="shared" si="115"/>
        <v>0</v>
      </c>
      <c r="K259" s="128"/>
      <c r="L259" s="129"/>
    </row>
    <row r="260" spans="1:14" x14ac:dyDescent="0.25">
      <c r="A260" s="130"/>
      <c r="B260" s="975" t="s">
        <v>228</v>
      </c>
      <c r="C260" s="976"/>
      <c r="D260" s="126">
        <v>236.89099999999999</v>
      </c>
      <c r="E260" s="126">
        <f t="shared" si="112"/>
        <v>236.791</v>
      </c>
      <c r="F260" s="127">
        <f t="shared" si="113"/>
        <v>-0.1</v>
      </c>
      <c r="G260" s="128">
        <v>5</v>
      </c>
      <c r="H260" s="128">
        <v>20</v>
      </c>
      <c r="I260" s="128">
        <f t="shared" si="114"/>
        <v>10</v>
      </c>
      <c r="J260" s="128">
        <f t="shared" si="115"/>
        <v>0</v>
      </c>
      <c r="K260" s="128"/>
      <c r="L260" s="129"/>
    </row>
    <row r="261" spans="1:14" x14ac:dyDescent="0.25">
      <c r="A261" s="130"/>
      <c r="B261" s="975" t="s">
        <v>229</v>
      </c>
      <c r="C261" s="976"/>
      <c r="D261" s="126">
        <v>236.80500000000001</v>
      </c>
      <c r="E261" s="126">
        <f t="shared" si="112"/>
        <v>236.70500000000001</v>
      </c>
      <c r="F261" s="127">
        <f t="shared" si="113"/>
        <v>-0.1</v>
      </c>
      <c r="G261" s="128">
        <v>5</v>
      </c>
      <c r="H261" s="128">
        <v>20</v>
      </c>
      <c r="I261" s="128">
        <f t="shared" si="114"/>
        <v>10</v>
      </c>
      <c r="J261" s="128">
        <f t="shared" si="115"/>
        <v>0</v>
      </c>
      <c r="K261" s="128"/>
      <c r="L261" s="129"/>
    </row>
    <row r="262" spans="1:14" x14ac:dyDescent="0.25">
      <c r="A262" s="130"/>
      <c r="B262" s="975" t="s">
        <v>519</v>
      </c>
      <c r="C262" s="976"/>
      <c r="D262" s="126">
        <v>236.92400000000001</v>
      </c>
      <c r="E262" s="126">
        <f t="shared" si="112"/>
        <v>236.82400000000001</v>
      </c>
      <c r="F262" s="127">
        <f t="shared" si="109"/>
        <v>-0.1</v>
      </c>
      <c r="G262" s="128">
        <v>5</v>
      </c>
      <c r="H262" s="128">
        <v>7.66</v>
      </c>
      <c r="I262" s="128">
        <f t="shared" si="110"/>
        <v>3.83</v>
      </c>
      <c r="J262" s="128">
        <f t="shared" si="111"/>
        <v>0</v>
      </c>
      <c r="K262" s="128"/>
      <c r="L262" s="129"/>
    </row>
    <row r="263" spans="1:14" ht="15.75" thickBot="1" x14ac:dyDescent="0.3">
      <c r="A263" s="195"/>
      <c r="B263" s="196"/>
      <c r="C263" s="197"/>
      <c r="D263" s="198"/>
      <c r="E263" s="199"/>
      <c r="F263" s="200"/>
      <c r="G263" s="199"/>
      <c r="H263" s="201">
        <f>SUM(H249:H262)</f>
        <v>247.66</v>
      </c>
      <c r="I263" s="201">
        <f>SUM(I249:I262)</f>
        <v>123.83</v>
      </c>
      <c r="J263" s="201">
        <f>SUM(J249:J262)</f>
        <v>0</v>
      </c>
      <c r="K263" s="202"/>
      <c r="L263" s="203"/>
    </row>
    <row r="264" spans="1:14" x14ac:dyDescent="0.25">
      <c r="A264" s="175" t="s">
        <v>329</v>
      </c>
      <c r="B264" s="987" t="s">
        <v>458</v>
      </c>
      <c r="C264" s="988"/>
      <c r="D264" s="142"/>
      <c r="E264" s="376"/>
      <c r="F264" s="377"/>
      <c r="G264" s="376"/>
      <c r="H264" s="376"/>
      <c r="I264" s="378">
        <f>I281</f>
        <v>203.2</v>
      </c>
      <c r="J264" s="379">
        <f>J281</f>
        <v>0</v>
      </c>
      <c r="K264" s="148">
        <f>I264</f>
        <v>203.2</v>
      </c>
      <c r="L264" s="149"/>
    </row>
    <row r="265" spans="1:14" x14ac:dyDescent="0.25">
      <c r="A265" s="123"/>
      <c r="B265" s="380" t="s">
        <v>217</v>
      </c>
      <c r="C265" s="381"/>
      <c r="D265" s="154">
        <v>233.45</v>
      </c>
      <c r="E265" s="154">
        <f>D265-0.1</f>
        <v>233.35</v>
      </c>
      <c r="F265" s="153">
        <f t="shared" ref="F265" si="116">E265-D265</f>
        <v>-0.1</v>
      </c>
      <c r="G265" s="382">
        <v>7</v>
      </c>
      <c r="H265" s="156">
        <v>0</v>
      </c>
      <c r="I265" s="382">
        <f t="shared" ref="I265" si="117">IF(F265&gt;0,0,(F265*G265*H265)*-1)</f>
        <v>0</v>
      </c>
      <c r="J265" s="382">
        <f t="shared" ref="J265" si="118">IF(F265&gt;0,F265*G265*H265,0)</f>
        <v>0</v>
      </c>
      <c r="K265" s="166"/>
      <c r="L265" s="129"/>
    </row>
    <row r="266" spans="1:14" x14ac:dyDescent="0.25">
      <c r="A266" s="181"/>
      <c r="B266" s="383" t="s">
        <v>218</v>
      </c>
      <c r="C266" s="384"/>
      <c r="D266" s="163">
        <v>233.601</v>
      </c>
      <c r="E266" s="163">
        <f>D266-0.1</f>
        <v>233.501</v>
      </c>
      <c r="F266" s="162">
        <f t="shared" ref="F266:F276" si="119">E266-D266</f>
        <v>-0.1</v>
      </c>
      <c r="G266" s="155">
        <v>7</v>
      </c>
      <c r="H266" s="164">
        <v>20</v>
      </c>
      <c r="I266" s="155">
        <f t="shared" ref="I266:I276" si="120">IF(F266&gt;0,0,(F266*G266*H266)*-1)</f>
        <v>14</v>
      </c>
      <c r="J266" s="155">
        <f t="shared" ref="J266:J276" si="121">IF(F266&gt;0,F266*G266*H266,0)</f>
        <v>0</v>
      </c>
      <c r="K266" s="189"/>
      <c r="L266" s="183"/>
    </row>
    <row r="267" spans="1:14" x14ac:dyDescent="0.25">
      <c r="A267" s="181"/>
      <c r="B267" s="383" t="s">
        <v>219</v>
      </c>
      <c r="C267" s="367"/>
      <c r="D267" s="163">
        <v>233.80099999999999</v>
      </c>
      <c r="E267" s="163">
        <f>D267-0.1</f>
        <v>233.70099999999999</v>
      </c>
      <c r="F267" s="162">
        <f t="shared" si="119"/>
        <v>-0.1</v>
      </c>
      <c r="G267" s="155">
        <v>7</v>
      </c>
      <c r="H267" s="164">
        <v>20</v>
      </c>
      <c r="I267" s="155">
        <f t="shared" si="120"/>
        <v>14</v>
      </c>
      <c r="J267" s="155">
        <f t="shared" si="121"/>
        <v>0</v>
      </c>
      <c r="K267" s="189"/>
      <c r="L267" s="183"/>
    </row>
    <row r="268" spans="1:14" x14ac:dyDescent="0.25">
      <c r="A268" s="181"/>
      <c r="B268" s="383" t="s">
        <v>220</v>
      </c>
      <c r="C268" s="367"/>
      <c r="D268" s="163">
        <v>234.001</v>
      </c>
      <c r="E268" s="163">
        <f t="shared" ref="E268:E280" si="122">D268-0.1</f>
        <v>233.90100000000001</v>
      </c>
      <c r="F268" s="162">
        <f t="shared" si="119"/>
        <v>-0.1</v>
      </c>
      <c r="G268" s="155">
        <v>7</v>
      </c>
      <c r="H268" s="164">
        <v>20</v>
      </c>
      <c r="I268" s="155">
        <f t="shared" si="120"/>
        <v>14</v>
      </c>
      <c r="J268" s="155">
        <f t="shared" si="121"/>
        <v>0</v>
      </c>
      <c r="K268" s="189"/>
      <c r="L268" s="183"/>
    </row>
    <row r="269" spans="1:14" x14ac:dyDescent="0.25">
      <c r="A269" s="181"/>
      <c r="B269" s="383" t="s">
        <v>221</v>
      </c>
      <c r="C269" s="367"/>
      <c r="D269" s="163">
        <v>234.20099999999999</v>
      </c>
      <c r="E269" s="163">
        <f t="shared" si="122"/>
        <v>234.101</v>
      </c>
      <c r="F269" s="162">
        <f t="shared" si="119"/>
        <v>-0.1</v>
      </c>
      <c r="G269" s="155">
        <v>7</v>
      </c>
      <c r="H269" s="164">
        <v>20</v>
      </c>
      <c r="I269" s="155">
        <f t="shared" si="120"/>
        <v>14</v>
      </c>
      <c r="J269" s="155">
        <f t="shared" si="121"/>
        <v>0</v>
      </c>
      <c r="K269" s="189"/>
      <c r="L269" s="183"/>
    </row>
    <row r="270" spans="1:14" x14ac:dyDescent="0.25">
      <c r="A270" s="181"/>
      <c r="B270" s="383" t="s">
        <v>222</v>
      </c>
      <c r="C270" s="367"/>
      <c r="D270" s="163">
        <v>234.40100000000001</v>
      </c>
      <c r="E270" s="163">
        <f t="shared" si="122"/>
        <v>234.30099999999999</v>
      </c>
      <c r="F270" s="162">
        <f t="shared" si="119"/>
        <v>-0.1</v>
      </c>
      <c r="G270" s="155">
        <v>7</v>
      </c>
      <c r="H270" s="164">
        <v>20</v>
      </c>
      <c r="I270" s="155">
        <f t="shared" si="120"/>
        <v>14</v>
      </c>
      <c r="J270" s="155">
        <f t="shared" si="121"/>
        <v>0</v>
      </c>
      <c r="K270" s="189"/>
      <c r="L270" s="183"/>
    </row>
    <row r="271" spans="1:14" ht="12.6" customHeight="1" x14ac:dyDescent="0.25">
      <c r="A271" s="181"/>
      <c r="B271" s="383" t="s">
        <v>223</v>
      </c>
      <c r="C271" s="367"/>
      <c r="D271" s="163">
        <v>234.601</v>
      </c>
      <c r="E271" s="163">
        <f t="shared" si="122"/>
        <v>234.501</v>
      </c>
      <c r="F271" s="162">
        <f t="shared" si="119"/>
        <v>-0.1</v>
      </c>
      <c r="G271" s="155">
        <v>7</v>
      </c>
      <c r="H271" s="164">
        <v>20</v>
      </c>
      <c r="I271" s="155">
        <f t="shared" si="120"/>
        <v>14</v>
      </c>
      <c r="J271" s="155">
        <f t="shared" si="121"/>
        <v>0</v>
      </c>
      <c r="K271" s="189"/>
      <c r="L271" s="183"/>
    </row>
    <row r="272" spans="1:14" x14ac:dyDescent="0.25">
      <c r="A272" s="181"/>
      <c r="B272" s="383" t="s">
        <v>224</v>
      </c>
      <c r="C272" s="367"/>
      <c r="D272" s="163">
        <v>234.80099999999999</v>
      </c>
      <c r="E272" s="163">
        <f t="shared" si="122"/>
        <v>234.70099999999999</v>
      </c>
      <c r="F272" s="162">
        <f t="shared" si="119"/>
        <v>-0.1</v>
      </c>
      <c r="G272" s="155">
        <v>7</v>
      </c>
      <c r="H272" s="164">
        <v>20</v>
      </c>
      <c r="I272" s="155">
        <f t="shared" si="120"/>
        <v>14</v>
      </c>
      <c r="J272" s="155">
        <f t="shared" si="121"/>
        <v>0</v>
      </c>
      <c r="K272" s="189"/>
      <c r="L272" s="183"/>
    </row>
    <row r="273" spans="1:14" x14ac:dyDescent="0.25">
      <c r="A273" s="181"/>
      <c r="B273" s="383" t="s">
        <v>225</v>
      </c>
      <c r="C273" s="367"/>
      <c r="D273" s="163">
        <v>235.001</v>
      </c>
      <c r="E273" s="163">
        <f t="shared" si="122"/>
        <v>234.90100000000001</v>
      </c>
      <c r="F273" s="162">
        <f t="shared" si="119"/>
        <v>-0.1</v>
      </c>
      <c r="G273" s="155">
        <v>7</v>
      </c>
      <c r="H273" s="164">
        <v>20</v>
      </c>
      <c r="I273" s="155">
        <f t="shared" si="120"/>
        <v>14</v>
      </c>
      <c r="J273" s="155">
        <f t="shared" si="121"/>
        <v>0</v>
      </c>
      <c r="K273" s="189"/>
      <c r="L273" s="183"/>
    </row>
    <row r="274" spans="1:14" x14ac:dyDescent="0.25">
      <c r="A274" s="353"/>
      <c r="B274" s="383" t="s">
        <v>226</v>
      </c>
      <c r="C274" s="367"/>
      <c r="D274" s="163">
        <v>235.20099999999999</v>
      </c>
      <c r="E274" s="163">
        <f t="shared" si="122"/>
        <v>235.101</v>
      </c>
      <c r="F274" s="162">
        <f t="shared" si="119"/>
        <v>-0.1</v>
      </c>
      <c r="G274" s="155">
        <v>7</v>
      </c>
      <c r="H274" s="164">
        <v>20</v>
      </c>
      <c r="I274" s="155">
        <f t="shared" si="120"/>
        <v>14</v>
      </c>
      <c r="J274" s="155">
        <f t="shared" si="121"/>
        <v>0</v>
      </c>
      <c r="K274" s="189"/>
      <c r="L274" s="183"/>
    </row>
    <row r="275" spans="1:14" x14ac:dyDescent="0.25">
      <c r="A275" s="353"/>
      <c r="B275" s="383" t="s">
        <v>227</v>
      </c>
      <c r="C275" s="367"/>
      <c r="D275" s="163">
        <v>235.40100000000001</v>
      </c>
      <c r="E275" s="163">
        <f t="shared" si="122"/>
        <v>235.30099999999999</v>
      </c>
      <c r="F275" s="162">
        <f t="shared" si="119"/>
        <v>-0.1</v>
      </c>
      <c r="G275" s="155">
        <v>7</v>
      </c>
      <c r="H275" s="164">
        <v>20</v>
      </c>
      <c r="I275" s="155">
        <f t="shared" si="120"/>
        <v>14</v>
      </c>
      <c r="J275" s="155">
        <f t="shared" si="121"/>
        <v>0</v>
      </c>
      <c r="K275" s="189"/>
      <c r="L275" s="183"/>
    </row>
    <row r="276" spans="1:14" x14ac:dyDescent="0.25">
      <c r="A276" s="353"/>
      <c r="B276" s="383" t="s">
        <v>228</v>
      </c>
      <c r="C276" s="367"/>
      <c r="D276" s="163">
        <v>235.601</v>
      </c>
      <c r="E276" s="163">
        <f t="shared" si="122"/>
        <v>235.501</v>
      </c>
      <c r="F276" s="162">
        <f t="shared" si="119"/>
        <v>-0.1</v>
      </c>
      <c r="G276" s="155">
        <v>7</v>
      </c>
      <c r="H276" s="164">
        <v>20</v>
      </c>
      <c r="I276" s="155">
        <f t="shared" si="120"/>
        <v>14</v>
      </c>
      <c r="J276" s="155">
        <f t="shared" si="121"/>
        <v>0</v>
      </c>
      <c r="K276" s="189"/>
      <c r="L276" s="183"/>
    </row>
    <row r="277" spans="1:14" x14ac:dyDescent="0.25">
      <c r="A277" s="353"/>
      <c r="B277" s="383" t="s">
        <v>229</v>
      </c>
      <c r="C277" s="367"/>
      <c r="D277" s="163">
        <v>235.80099999999999</v>
      </c>
      <c r="E277" s="163">
        <f t="shared" si="122"/>
        <v>235.70099999999999</v>
      </c>
      <c r="F277" s="162">
        <f t="shared" ref="F277:F280" si="123">E277-D277</f>
        <v>-0.1</v>
      </c>
      <c r="G277" s="155">
        <v>7</v>
      </c>
      <c r="H277" s="164">
        <v>20</v>
      </c>
      <c r="I277" s="155">
        <f t="shared" ref="I277:I280" si="124">IF(F277&gt;0,0,(F277*G277*H277)*-1)</f>
        <v>14</v>
      </c>
      <c r="J277" s="155">
        <f t="shared" ref="J277:J280" si="125">IF(F277&gt;0,F277*G277*H277,0)</f>
        <v>0</v>
      </c>
      <c r="K277" s="189"/>
      <c r="L277" s="183"/>
    </row>
    <row r="278" spans="1:14" x14ac:dyDescent="0.25">
      <c r="A278" s="353"/>
      <c r="B278" s="383" t="s">
        <v>230</v>
      </c>
      <c r="C278" s="367"/>
      <c r="D278" s="163">
        <v>236.001</v>
      </c>
      <c r="E278" s="163">
        <f t="shared" si="122"/>
        <v>235.90100000000001</v>
      </c>
      <c r="F278" s="162">
        <f t="shared" si="123"/>
        <v>-0.1</v>
      </c>
      <c r="G278" s="155">
        <v>7</v>
      </c>
      <c r="H278" s="164">
        <v>20</v>
      </c>
      <c r="I278" s="155">
        <f t="shared" si="124"/>
        <v>14</v>
      </c>
      <c r="J278" s="155">
        <f t="shared" si="125"/>
        <v>0</v>
      </c>
      <c r="K278" s="189"/>
      <c r="L278" s="183"/>
    </row>
    <row r="279" spans="1:14" x14ac:dyDescent="0.25">
      <c r="A279" s="353"/>
      <c r="B279" s="383" t="s">
        <v>231</v>
      </c>
      <c r="C279" s="367"/>
      <c r="D279" s="163">
        <v>236.20099999999999</v>
      </c>
      <c r="E279" s="163">
        <f t="shared" si="122"/>
        <v>236.101</v>
      </c>
      <c r="F279" s="162">
        <f t="shared" ref="F279" si="126">E279-D279</f>
        <v>-0.1</v>
      </c>
      <c r="G279" s="155">
        <v>7</v>
      </c>
      <c r="H279" s="164">
        <v>20</v>
      </c>
      <c r="I279" s="155">
        <f t="shared" ref="I279" si="127">IF(F279&gt;0,0,(F279*G279*H279)*-1)</f>
        <v>14</v>
      </c>
      <c r="J279" s="155">
        <f t="shared" ref="J279" si="128">IF(F279&gt;0,F279*G279*H279,0)</f>
        <v>0</v>
      </c>
      <c r="K279" s="189"/>
      <c r="L279" s="183"/>
    </row>
    <row r="280" spans="1:14" x14ac:dyDescent="0.25">
      <c r="A280" s="353"/>
      <c r="B280" s="383" t="s">
        <v>523</v>
      </c>
      <c r="C280" s="366"/>
      <c r="D280" s="163">
        <v>237.40100000000001</v>
      </c>
      <c r="E280" s="127">
        <f t="shared" si="122"/>
        <v>237.30099999999999</v>
      </c>
      <c r="F280" s="163">
        <f t="shared" si="123"/>
        <v>-0.1</v>
      </c>
      <c r="G280" s="155">
        <v>7</v>
      </c>
      <c r="H280" s="164">
        <v>10.29</v>
      </c>
      <c r="I280" s="172">
        <f t="shared" si="124"/>
        <v>7.2</v>
      </c>
      <c r="J280" s="170">
        <f t="shared" si="125"/>
        <v>0</v>
      </c>
      <c r="K280" s="189"/>
      <c r="L280" s="183"/>
    </row>
    <row r="281" spans="1:14" x14ac:dyDescent="0.25">
      <c r="A281" s="181"/>
      <c r="B281" s="368"/>
      <c r="C281" s="369"/>
      <c r="D281" s="365"/>
      <c r="E281" s="182"/>
      <c r="F281" s="187"/>
      <c r="G281" s="182"/>
      <c r="H281" s="385">
        <f>SUM(H265:H280)</f>
        <v>290.29000000000002</v>
      </c>
      <c r="I281" s="385">
        <f>SUM(I265:I280)</f>
        <v>203.2</v>
      </c>
      <c r="J281" s="385">
        <f>SUM(J265:J280)</f>
        <v>0</v>
      </c>
      <c r="K281" s="189"/>
      <c r="L281" s="190"/>
      <c r="N281" s="303"/>
    </row>
    <row r="282" spans="1:14" x14ac:dyDescent="0.25">
      <c r="A282" s="370" t="s">
        <v>348</v>
      </c>
      <c r="B282" s="985" t="s">
        <v>459</v>
      </c>
      <c r="C282" s="986"/>
      <c r="D282" s="371"/>
      <c r="E282" s="372"/>
      <c r="F282" s="373"/>
      <c r="G282" s="372"/>
      <c r="H282" s="372"/>
      <c r="I282" s="374">
        <f>I291</f>
        <v>97.13</v>
      </c>
      <c r="J282" s="375">
        <f>J291</f>
        <v>0</v>
      </c>
      <c r="K282" s="374">
        <f>I282</f>
        <v>97.13</v>
      </c>
      <c r="L282" s="364"/>
    </row>
    <row r="283" spans="1:14" ht="13.9" customHeight="1" x14ac:dyDescent="0.25">
      <c r="A283" s="123"/>
      <c r="B283" s="983" t="s">
        <v>217</v>
      </c>
      <c r="C283" s="984"/>
      <c r="D283" s="126">
        <v>232.65799999999999</v>
      </c>
      <c r="E283" s="126">
        <f>D283-0.1</f>
        <v>232.55799999999999</v>
      </c>
      <c r="F283" s="127">
        <f t="shared" ref="F283:F290" si="129">E283-D283</f>
        <v>-0.1</v>
      </c>
      <c r="G283" s="128">
        <v>7</v>
      </c>
      <c r="H283" s="128">
        <v>0</v>
      </c>
      <c r="I283" s="128">
        <f t="shared" ref="I283:I290" si="130">IF(F283&gt;0,0,(F283*G283*H283)*-1)</f>
        <v>0</v>
      </c>
      <c r="J283" s="128">
        <f t="shared" ref="J283:J290" si="131">IF(F283&gt;0,F283*G283*H283,0)</f>
        <v>0</v>
      </c>
      <c r="K283" s="128"/>
      <c r="L283" s="129"/>
    </row>
    <row r="284" spans="1:14" x14ac:dyDescent="0.25">
      <c r="A284" s="130"/>
      <c r="B284" s="975" t="s">
        <v>218</v>
      </c>
      <c r="C284" s="976"/>
      <c r="D284" s="126">
        <v>232.9</v>
      </c>
      <c r="E284" s="126">
        <f t="shared" ref="E284:E290" si="132">D284-0.1</f>
        <v>232.8</v>
      </c>
      <c r="F284" s="127">
        <f t="shared" si="129"/>
        <v>-0.1</v>
      </c>
      <c r="G284" s="128">
        <v>7</v>
      </c>
      <c r="H284" s="128">
        <v>20</v>
      </c>
      <c r="I284" s="128">
        <f t="shared" si="130"/>
        <v>14</v>
      </c>
      <c r="J284" s="128">
        <f t="shared" si="131"/>
        <v>0</v>
      </c>
      <c r="K284" s="128"/>
      <c r="L284" s="129"/>
    </row>
    <row r="285" spans="1:14" x14ac:dyDescent="0.25">
      <c r="A285" s="130"/>
      <c r="B285" s="975" t="s">
        <v>219</v>
      </c>
      <c r="C285" s="976"/>
      <c r="D285" s="126">
        <v>233.5</v>
      </c>
      <c r="E285" s="126">
        <f t="shared" si="132"/>
        <v>233.4</v>
      </c>
      <c r="F285" s="127">
        <f t="shared" si="129"/>
        <v>-0.1</v>
      </c>
      <c r="G285" s="128">
        <v>7</v>
      </c>
      <c r="H285" s="128">
        <v>20</v>
      </c>
      <c r="I285" s="128">
        <f t="shared" si="130"/>
        <v>14</v>
      </c>
      <c r="J285" s="128">
        <f t="shared" si="131"/>
        <v>0</v>
      </c>
      <c r="K285" s="128"/>
      <c r="L285" s="129"/>
    </row>
    <row r="286" spans="1:14" x14ac:dyDescent="0.25">
      <c r="A286" s="130"/>
      <c r="B286" s="975" t="s">
        <v>220</v>
      </c>
      <c r="C286" s="976"/>
      <c r="D286" s="126">
        <v>234.048</v>
      </c>
      <c r="E286" s="126">
        <f t="shared" si="132"/>
        <v>233.94800000000001</v>
      </c>
      <c r="F286" s="127">
        <f t="shared" ref="F286:F289" si="133">E286-D286</f>
        <v>-0.1</v>
      </c>
      <c r="G286" s="128">
        <v>7</v>
      </c>
      <c r="H286" s="128">
        <v>20</v>
      </c>
      <c r="I286" s="128">
        <f t="shared" ref="I286:I289" si="134">IF(F286&gt;0,0,(F286*G286*H286)*-1)</f>
        <v>14</v>
      </c>
      <c r="J286" s="128">
        <f t="shared" ref="J286:J289" si="135">IF(F286&gt;0,F286*G286*H286,0)</f>
        <v>0</v>
      </c>
      <c r="K286" s="128"/>
      <c r="L286" s="129"/>
    </row>
    <row r="287" spans="1:14" x14ac:dyDescent="0.25">
      <c r="A287" s="130"/>
      <c r="B287" s="975" t="s">
        <v>221</v>
      </c>
      <c r="C287" s="976"/>
      <c r="D287" s="126">
        <v>234.351</v>
      </c>
      <c r="E287" s="126">
        <f t="shared" si="132"/>
        <v>234.251</v>
      </c>
      <c r="F287" s="127">
        <f t="shared" si="133"/>
        <v>-0.1</v>
      </c>
      <c r="G287" s="128">
        <v>7</v>
      </c>
      <c r="H287" s="128">
        <v>20</v>
      </c>
      <c r="I287" s="128">
        <f t="shared" si="134"/>
        <v>14</v>
      </c>
      <c r="J287" s="128">
        <f t="shared" si="135"/>
        <v>0</v>
      </c>
      <c r="K287" s="128"/>
      <c r="L287" s="129"/>
    </row>
    <row r="288" spans="1:14" x14ac:dyDescent="0.25">
      <c r="A288" s="130"/>
      <c r="B288" s="975" t="s">
        <v>222</v>
      </c>
      <c r="C288" s="976"/>
      <c r="D288" s="126">
        <v>234.696</v>
      </c>
      <c r="E288" s="126">
        <f t="shared" si="132"/>
        <v>234.596</v>
      </c>
      <c r="F288" s="127">
        <f t="shared" si="133"/>
        <v>-0.1</v>
      </c>
      <c r="G288" s="128">
        <v>7</v>
      </c>
      <c r="H288" s="128">
        <v>20</v>
      </c>
      <c r="I288" s="128">
        <f t="shared" si="134"/>
        <v>14</v>
      </c>
      <c r="J288" s="128">
        <f t="shared" si="135"/>
        <v>0</v>
      </c>
      <c r="K288" s="128"/>
      <c r="L288" s="129"/>
    </row>
    <row r="289" spans="1:14" x14ac:dyDescent="0.25">
      <c r="A289" s="130"/>
      <c r="B289" s="975" t="s">
        <v>223</v>
      </c>
      <c r="C289" s="976"/>
      <c r="D289" s="126">
        <v>235.12100000000001</v>
      </c>
      <c r="E289" s="126">
        <f t="shared" si="132"/>
        <v>235.02099999999999</v>
      </c>
      <c r="F289" s="127">
        <f t="shared" si="133"/>
        <v>-0.1</v>
      </c>
      <c r="G289" s="128">
        <v>7</v>
      </c>
      <c r="H289" s="128">
        <v>20</v>
      </c>
      <c r="I289" s="128">
        <f t="shared" si="134"/>
        <v>14</v>
      </c>
      <c r="J289" s="128">
        <f t="shared" si="135"/>
        <v>0</v>
      </c>
      <c r="K289" s="128"/>
      <c r="L289" s="129"/>
    </row>
    <row r="290" spans="1:14" x14ac:dyDescent="0.25">
      <c r="A290" s="130"/>
      <c r="B290" s="975" t="s">
        <v>520</v>
      </c>
      <c r="C290" s="976"/>
      <c r="D290" s="126">
        <v>235.32</v>
      </c>
      <c r="E290" s="126">
        <f t="shared" si="132"/>
        <v>235.22</v>
      </c>
      <c r="F290" s="127">
        <f t="shared" si="129"/>
        <v>-0.1</v>
      </c>
      <c r="G290" s="128">
        <v>7</v>
      </c>
      <c r="H290" s="128">
        <v>18.75</v>
      </c>
      <c r="I290" s="128">
        <f t="shared" si="130"/>
        <v>13.13</v>
      </c>
      <c r="J290" s="128">
        <f t="shared" si="131"/>
        <v>0</v>
      </c>
      <c r="K290" s="128"/>
      <c r="L290" s="129"/>
    </row>
    <row r="291" spans="1:14" ht="15.75" thickBot="1" x14ac:dyDescent="0.3">
      <c r="A291" s="195"/>
      <c r="B291" s="196"/>
      <c r="C291" s="197"/>
      <c r="D291" s="198"/>
      <c r="E291" s="199"/>
      <c r="F291" s="200"/>
      <c r="G291" s="199"/>
      <c r="H291" s="201">
        <f>SUM(H283:H290)</f>
        <v>138.75</v>
      </c>
      <c r="I291" s="201">
        <f>SUM(I283:I290)</f>
        <v>97.13</v>
      </c>
      <c r="J291" s="201">
        <f>SUM(J283:J290)</f>
        <v>0</v>
      </c>
      <c r="K291" s="202"/>
      <c r="L291" s="203"/>
    </row>
    <row r="292" spans="1:14" x14ac:dyDescent="0.25">
      <c r="A292" s="175" t="s">
        <v>367</v>
      </c>
      <c r="B292" s="989" t="s">
        <v>460</v>
      </c>
      <c r="C292" s="990"/>
      <c r="D292" s="362"/>
      <c r="E292" s="177"/>
      <c r="F292" s="178"/>
      <c r="G292" s="177"/>
      <c r="H292" s="177"/>
      <c r="I292" s="179">
        <f>I304</f>
        <v>69.64</v>
      </c>
      <c r="J292" s="180">
        <f>J304</f>
        <v>0</v>
      </c>
      <c r="K292" s="148">
        <f>I292</f>
        <v>69.64</v>
      </c>
      <c r="L292" s="149"/>
    </row>
    <row r="293" spans="1:14" x14ac:dyDescent="0.25">
      <c r="A293" s="123"/>
      <c r="B293" s="991" t="s">
        <v>217</v>
      </c>
      <c r="C293" s="992"/>
      <c r="D293" s="363">
        <v>231.07300000000001</v>
      </c>
      <c r="E293" s="126">
        <f>D293-0.1</f>
        <v>230.97300000000001</v>
      </c>
      <c r="F293" s="127">
        <f t="shared" ref="F293:F303" si="136">E293-D293</f>
        <v>-0.1</v>
      </c>
      <c r="G293" s="128">
        <v>6</v>
      </c>
      <c r="H293" s="128">
        <v>0</v>
      </c>
      <c r="I293" s="128">
        <f t="shared" ref="I293:I303" si="137">IF(F293&gt;0,0,(F293*G293*H293)*-1)</f>
        <v>0</v>
      </c>
      <c r="J293" s="128">
        <f t="shared" ref="J293:J303" si="138">IF(F293&gt;0,F293*G293*H293,0)</f>
        <v>0</v>
      </c>
      <c r="K293" s="128"/>
      <c r="L293" s="129"/>
    </row>
    <row r="294" spans="1:14" ht="21.6" customHeight="1" x14ac:dyDescent="0.25">
      <c r="A294" s="123"/>
      <c r="B294" s="991" t="s">
        <v>218</v>
      </c>
      <c r="C294" s="992"/>
      <c r="D294" s="363">
        <v>230.583</v>
      </c>
      <c r="E294" s="126">
        <f t="shared" ref="E294:E303" si="139">D294-0.1</f>
        <v>230.483</v>
      </c>
      <c r="F294" s="127">
        <f t="shared" ref="F294:F297" si="140">E294-D294</f>
        <v>-0.1</v>
      </c>
      <c r="G294" s="128">
        <v>6</v>
      </c>
      <c r="H294" s="128">
        <v>0</v>
      </c>
      <c r="I294" s="128">
        <f t="shared" ref="I294:I297" si="141">IF(F294&gt;0,0,(F294*G294*H294)*-1)</f>
        <v>0</v>
      </c>
      <c r="J294" s="128">
        <f t="shared" ref="J294:J297" si="142">IF(F294&gt;0,F294*G294*H294,0)</f>
        <v>0</v>
      </c>
      <c r="K294" s="128"/>
      <c r="L294" s="129"/>
    </row>
    <row r="295" spans="1:14" x14ac:dyDescent="0.25">
      <c r="A295" s="123"/>
      <c r="B295" s="991" t="s">
        <v>219</v>
      </c>
      <c r="C295" s="992"/>
      <c r="D295" s="363">
        <v>230.20400000000001</v>
      </c>
      <c r="E295" s="126">
        <f t="shared" si="139"/>
        <v>230.10400000000001</v>
      </c>
      <c r="F295" s="127">
        <f t="shared" si="140"/>
        <v>-0.1</v>
      </c>
      <c r="G295" s="128">
        <v>6</v>
      </c>
      <c r="H295" s="128">
        <v>0</v>
      </c>
      <c r="I295" s="128">
        <f t="shared" si="141"/>
        <v>0</v>
      </c>
      <c r="J295" s="128">
        <f t="shared" si="142"/>
        <v>0</v>
      </c>
      <c r="K295" s="128"/>
      <c r="L295" s="129"/>
    </row>
    <row r="296" spans="1:14" x14ac:dyDescent="0.25">
      <c r="A296" s="123"/>
      <c r="B296" s="991" t="s">
        <v>220</v>
      </c>
      <c r="C296" s="992"/>
      <c r="D296" s="363">
        <v>230.1</v>
      </c>
      <c r="E296" s="126">
        <f t="shared" si="139"/>
        <v>230</v>
      </c>
      <c r="F296" s="127">
        <f t="shared" si="140"/>
        <v>-0.1</v>
      </c>
      <c r="G296" s="128">
        <v>6</v>
      </c>
      <c r="H296" s="128">
        <v>0</v>
      </c>
      <c r="I296" s="128">
        <f t="shared" si="141"/>
        <v>0</v>
      </c>
      <c r="J296" s="128">
        <f t="shared" si="142"/>
        <v>0</v>
      </c>
      <c r="K296" s="128"/>
      <c r="L296" s="129"/>
      <c r="N296" s="303"/>
    </row>
    <row r="297" spans="1:14" x14ac:dyDescent="0.25">
      <c r="A297" s="123"/>
      <c r="B297" s="991" t="s">
        <v>221</v>
      </c>
      <c r="C297" s="992"/>
      <c r="D297" s="363">
        <v>230.00899999999999</v>
      </c>
      <c r="E297" s="126">
        <f t="shared" si="139"/>
        <v>229.90899999999999</v>
      </c>
      <c r="F297" s="127">
        <f t="shared" si="140"/>
        <v>-0.1</v>
      </c>
      <c r="G297" s="128">
        <v>6</v>
      </c>
      <c r="H297" s="128">
        <v>0</v>
      </c>
      <c r="I297" s="128">
        <f t="shared" si="141"/>
        <v>0</v>
      </c>
      <c r="J297" s="128">
        <f t="shared" si="142"/>
        <v>0</v>
      </c>
      <c r="K297" s="128"/>
      <c r="L297" s="129"/>
    </row>
    <row r="298" spans="1:14" x14ac:dyDescent="0.25">
      <c r="A298" s="130"/>
      <c r="B298" s="975" t="s">
        <v>222</v>
      </c>
      <c r="C298" s="976"/>
      <c r="D298" s="126">
        <v>230.25</v>
      </c>
      <c r="E298" s="126">
        <f t="shared" si="139"/>
        <v>230.15</v>
      </c>
      <c r="F298" s="127">
        <f t="shared" si="136"/>
        <v>-0.1</v>
      </c>
      <c r="G298" s="128">
        <v>6</v>
      </c>
      <c r="H298" s="128">
        <v>20</v>
      </c>
      <c r="I298" s="128">
        <f t="shared" si="137"/>
        <v>12</v>
      </c>
      <c r="J298" s="128">
        <f t="shared" si="138"/>
        <v>0</v>
      </c>
      <c r="K298" s="128"/>
      <c r="L298" s="129"/>
    </row>
    <row r="299" spans="1:14" x14ac:dyDescent="0.25">
      <c r="A299" s="130"/>
      <c r="B299" s="975" t="s">
        <v>223</v>
      </c>
      <c r="C299" s="976"/>
      <c r="D299" s="126">
        <v>231.02</v>
      </c>
      <c r="E299" s="126">
        <f t="shared" si="139"/>
        <v>230.92</v>
      </c>
      <c r="F299" s="127">
        <f t="shared" ref="F299:F301" si="143">E299-D299</f>
        <v>-0.1</v>
      </c>
      <c r="G299" s="128">
        <v>6</v>
      </c>
      <c r="H299" s="128">
        <v>20</v>
      </c>
      <c r="I299" s="128">
        <f t="shared" ref="I299:I301" si="144">IF(F299&gt;0,0,(F299*G299*H299)*-1)</f>
        <v>12</v>
      </c>
      <c r="J299" s="128">
        <f t="shared" ref="J299:J301" si="145">IF(F299&gt;0,F299*G299*H299,0)</f>
        <v>0</v>
      </c>
      <c r="K299" s="128"/>
      <c r="L299" s="129"/>
    </row>
    <row r="300" spans="1:14" x14ac:dyDescent="0.25">
      <c r="A300" s="130"/>
      <c r="B300" s="975" t="s">
        <v>224</v>
      </c>
      <c r="C300" s="976"/>
      <c r="D300" s="126">
        <v>230.637</v>
      </c>
      <c r="E300" s="126">
        <f t="shared" si="139"/>
        <v>230.53700000000001</v>
      </c>
      <c r="F300" s="127">
        <f t="shared" si="143"/>
        <v>-0.1</v>
      </c>
      <c r="G300" s="128">
        <v>6</v>
      </c>
      <c r="H300" s="128">
        <v>20</v>
      </c>
      <c r="I300" s="128">
        <f t="shared" si="144"/>
        <v>12</v>
      </c>
      <c r="J300" s="128">
        <f t="shared" si="145"/>
        <v>0</v>
      </c>
      <c r="K300" s="128"/>
      <c r="L300" s="129"/>
    </row>
    <row r="301" spans="1:14" x14ac:dyDescent="0.25">
      <c r="A301" s="130"/>
      <c r="B301" s="975" t="s">
        <v>225</v>
      </c>
      <c r="C301" s="976"/>
      <c r="D301" s="126">
        <v>230.93100000000001</v>
      </c>
      <c r="E301" s="126">
        <f t="shared" si="139"/>
        <v>230.83099999999999</v>
      </c>
      <c r="F301" s="127">
        <f t="shared" si="143"/>
        <v>-0.1</v>
      </c>
      <c r="G301" s="128">
        <v>6</v>
      </c>
      <c r="H301" s="128">
        <v>20</v>
      </c>
      <c r="I301" s="128">
        <f t="shared" si="144"/>
        <v>12</v>
      </c>
      <c r="J301" s="128">
        <f t="shared" si="145"/>
        <v>0</v>
      </c>
      <c r="K301" s="128"/>
      <c r="L301" s="129"/>
    </row>
    <row r="302" spans="1:14" x14ac:dyDescent="0.25">
      <c r="A302" s="130"/>
      <c r="B302" s="975" t="s">
        <v>226</v>
      </c>
      <c r="C302" s="976"/>
      <c r="D302" s="126">
        <v>231.14699999999999</v>
      </c>
      <c r="E302" s="126">
        <f t="shared" si="139"/>
        <v>231.047</v>
      </c>
      <c r="F302" s="127">
        <f t="shared" ref="F302" si="146">E302-D302</f>
        <v>-0.1</v>
      </c>
      <c r="G302" s="128">
        <v>6</v>
      </c>
      <c r="H302" s="128">
        <v>20</v>
      </c>
      <c r="I302" s="128">
        <f t="shared" ref="I302" si="147">IF(F302&gt;0,0,(F302*G302*H302)*-1)</f>
        <v>12</v>
      </c>
      <c r="J302" s="128">
        <f t="shared" ref="J302" si="148">IF(F302&gt;0,F302*G302*H302,0)</f>
        <v>0</v>
      </c>
      <c r="K302" s="128"/>
      <c r="L302" s="129"/>
    </row>
    <row r="303" spans="1:14" x14ac:dyDescent="0.25">
      <c r="A303" s="130"/>
      <c r="B303" s="975" t="s">
        <v>521</v>
      </c>
      <c r="C303" s="976"/>
      <c r="D303" s="126">
        <v>231.2</v>
      </c>
      <c r="E303" s="126">
        <f t="shared" si="139"/>
        <v>231.1</v>
      </c>
      <c r="F303" s="127">
        <f t="shared" si="136"/>
        <v>-0.1</v>
      </c>
      <c r="G303" s="128">
        <v>6</v>
      </c>
      <c r="H303" s="128">
        <v>16.07</v>
      </c>
      <c r="I303" s="128">
        <f t="shared" si="137"/>
        <v>9.64</v>
      </c>
      <c r="J303" s="128">
        <f t="shared" si="138"/>
        <v>0</v>
      </c>
      <c r="K303" s="128"/>
      <c r="L303" s="129"/>
    </row>
    <row r="304" spans="1:14" ht="15.75" thickBot="1" x14ac:dyDescent="0.3">
      <c r="A304" s="195"/>
      <c r="B304" s="196"/>
      <c r="C304" s="197"/>
      <c r="D304" s="198"/>
      <c r="E304" s="199"/>
      <c r="F304" s="200"/>
      <c r="G304" s="199"/>
      <c r="H304" s="201">
        <f>SUM(H293:H303)</f>
        <v>116.07</v>
      </c>
      <c r="I304" s="201">
        <f>SUM(I293:I303)</f>
        <v>69.64</v>
      </c>
      <c r="J304" s="201">
        <f>SUM(J293:J303)</f>
        <v>0</v>
      </c>
      <c r="K304" s="202"/>
      <c r="L304" s="203"/>
    </row>
    <row r="305" spans="1:15" ht="25.9" customHeight="1" x14ac:dyDescent="0.25">
      <c r="A305" s="175" t="s">
        <v>377</v>
      </c>
      <c r="B305" s="961" t="s">
        <v>522</v>
      </c>
      <c r="C305" s="962"/>
      <c r="D305" s="176"/>
      <c r="E305" s="177"/>
      <c r="F305" s="178"/>
      <c r="G305" s="177"/>
      <c r="H305" s="177"/>
      <c r="I305" s="179">
        <f>I317</f>
        <v>96.82</v>
      </c>
      <c r="J305" s="180">
        <f>J317</f>
        <v>0</v>
      </c>
      <c r="K305" s="148">
        <f>I305</f>
        <v>96.82</v>
      </c>
      <c r="L305" s="149"/>
      <c r="O305" s="303"/>
    </row>
    <row r="306" spans="1:15" x14ac:dyDescent="0.25">
      <c r="A306" s="123"/>
      <c r="B306" s="977" t="s">
        <v>217</v>
      </c>
      <c r="C306" s="978"/>
      <c r="D306" s="126">
        <v>228.066</v>
      </c>
      <c r="E306" s="126">
        <f>D306-0.1</f>
        <v>227.96600000000001</v>
      </c>
      <c r="F306" s="127">
        <f t="shared" ref="F306:F310" si="149">E306-D306</f>
        <v>-0.1</v>
      </c>
      <c r="G306" s="128">
        <v>5</v>
      </c>
      <c r="H306" s="128">
        <v>0</v>
      </c>
      <c r="I306" s="128">
        <f t="shared" ref="I306:I310" si="150">IF(F306&gt;0,0,(F306*G306*H306)*-1)</f>
        <v>0</v>
      </c>
      <c r="J306" s="128">
        <f t="shared" ref="J306:J310" si="151">IF(F306&gt;0,F306*G306*H306,0)</f>
        <v>0</v>
      </c>
      <c r="K306" s="128"/>
      <c r="L306" s="129"/>
    </row>
    <row r="307" spans="1:15" ht="10.15" customHeight="1" x14ac:dyDescent="0.25">
      <c r="A307" s="130"/>
      <c r="B307" s="975" t="s">
        <v>218</v>
      </c>
      <c r="C307" s="976"/>
      <c r="D307" s="126">
        <v>227.14</v>
      </c>
      <c r="E307" s="126">
        <f t="shared" ref="E307:E316" si="152">D307-0.1</f>
        <v>227.04</v>
      </c>
      <c r="F307" s="127">
        <f t="shared" si="149"/>
        <v>-0.1</v>
      </c>
      <c r="G307" s="128">
        <v>5</v>
      </c>
      <c r="H307" s="128">
        <v>20</v>
      </c>
      <c r="I307" s="128">
        <f t="shared" si="150"/>
        <v>10</v>
      </c>
      <c r="J307" s="128">
        <f t="shared" si="151"/>
        <v>0</v>
      </c>
      <c r="K307" s="128"/>
      <c r="L307" s="129"/>
    </row>
    <row r="308" spans="1:15" x14ac:dyDescent="0.25">
      <c r="A308" s="130"/>
      <c r="B308" s="975" t="s">
        <v>219</v>
      </c>
      <c r="C308" s="976"/>
      <c r="D308" s="126">
        <v>226.68700000000001</v>
      </c>
      <c r="E308" s="126">
        <f t="shared" si="152"/>
        <v>226.58699999999999</v>
      </c>
      <c r="F308" s="127">
        <f t="shared" si="149"/>
        <v>-0.1</v>
      </c>
      <c r="G308" s="128">
        <v>5</v>
      </c>
      <c r="H308" s="128">
        <v>20</v>
      </c>
      <c r="I308" s="128">
        <f t="shared" si="150"/>
        <v>10</v>
      </c>
      <c r="J308" s="128">
        <f t="shared" si="151"/>
        <v>0</v>
      </c>
      <c r="K308" s="128"/>
      <c r="L308" s="129"/>
    </row>
    <row r="309" spans="1:15" x14ac:dyDescent="0.25">
      <c r="A309" s="130"/>
      <c r="B309" s="975" t="s">
        <v>220</v>
      </c>
      <c r="C309" s="976"/>
      <c r="D309" s="126">
        <v>226.273</v>
      </c>
      <c r="E309" s="126">
        <f t="shared" si="152"/>
        <v>226.173</v>
      </c>
      <c r="F309" s="127">
        <f t="shared" si="149"/>
        <v>-0.1</v>
      </c>
      <c r="G309" s="128">
        <v>5</v>
      </c>
      <c r="H309" s="128">
        <v>20</v>
      </c>
      <c r="I309" s="128">
        <f t="shared" si="150"/>
        <v>10</v>
      </c>
      <c r="J309" s="128">
        <f t="shared" si="151"/>
        <v>0</v>
      </c>
      <c r="K309" s="128"/>
      <c r="L309" s="129"/>
    </row>
    <row r="310" spans="1:15" x14ac:dyDescent="0.25">
      <c r="A310" s="130"/>
      <c r="B310" s="975" t="s">
        <v>221</v>
      </c>
      <c r="C310" s="976"/>
      <c r="D310" s="126">
        <v>225.81899999999999</v>
      </c>
      <c r="E310" s="126">
        <f t="shared" si="152"/>
        <v>225.71899999999999</v>
      </c>
      <c r="F310" s="127">
        <f t="shared" si="149"/>
        <v>-0.1</v>
      </c>
      <c r="G310" s="128">
        <v>5</v>
      </c>
      <c r="H310" s="128">
        <v>20</v>
      </c>
      <c r="I310" s="128">
        <f t="shared" si="150"/>
        <v>10</v>
      </c>
      <c r="J310" s="128">
        <f t="shared" si="151"/>
        <v>0</v>
      </c>
      <c r="K310" s="128"/>
      <c r="L310" s="129"/>
    </row>
    <row r="311" spans="1:15" x14ac:dyDescent="0.25">
      <c r="A311" s="130"/>
      <c r="B311" s="975" t="s">
        <v>222</v>
      </c>
      <c r="C311" s="976"/>
      <c r="D311" s="126">
        <v>225.80799999999999</v>
      </c>
      <c r="E311" s="126">
        <f t="shared" si="152"/>
        <v>225.708</v>
      </c>
      <c r="F311" s="127">
        <f t="shared" ref="F311:F316" si="153">E311-D311</f>
        <v>-0.1</v>
      </c>
      <c r="G311" s="128">
        <v>5</v>
      </c>
      <c r="H311" s="128">
        <v>20</v>
      </c>
      <c r="I311" s="128">
        <f t="shared" ref="I311:I316" si="154">IF(F311&gt;0,0,(F311*G311*H311)*-1)</f>
        <v>10</v>
      </c>
      <c r="J311" s="128">
        <f t="shared" ref="J311:J316" si="155">IF(F311&gt;0,F311*G311*H311,0)</f>
        <v>0</v>
      </c>
      <c r="K311" s="128"/>
      <c r="L311" s="129"/>
    </row>
    <row r="312" spans="1:15" x14ac:dyDescent="0.25">
      <c r="A312" s="130"/>
      <c r="B312" s="975" t="s">
        <v>223</v>
      </c>
      <c r="C312" s="976"/>
      <c r="D312" s="126">
        <v>225.80199999999999</v>
      </c>
      <c r="E312" s="126">
        <f t="shared" si="152"/>
        <v>225.702</v>
      </c>
      <c r="F312" s="127">
        <f t="shared" si="153"/>
        <v>-0.1</v>
      </c>
      <c r="G312" s="128">
        <v>5</v>
      </c>
      <c r="H312" s="128">
        <v>20</v>
      </c>
      <c r="I312" s="128">
        <f t="shared" si="154"/>
        <v>10</v>
      </c>
      <c r="J312" s="128">
        <f t="shared" si="155"/>
        <v>0</v>
      </c>
      <c r="K312" s="128"/>
      <c r="L312" s="129"/>
    </row>
    <row r="313" spans="1:15" x14ac:dyDescent="0.25">
      <c r="A313" s="130"/>
      <c r="B313" s="975" t="s">
        <v>224</v>
      </c>
      <c r="C313" s="976"/>
      <c r="D313" s="126">
        <v>226.12299999999999</v>
      </c>
      <c r="E313" s="126">
        <f t="shared" si="152"/>
        <v>226.023</v>
      </c>
      <c r="F313" s="127">
        <f t="shared" si="153"/>
        <v>-0.1</v>
      </c>
      <c r="G313" s="128">
        <v>5</v>
      </c>
      <c r="H313" s="128">
        <v>20</v>
      </c>
      <c r="I313" s="128">
        <f t="shared" si="154"/>
        <v>10</v>
      </c>
      <c r="J313" s="128">
        <f t="shared" si="155"/>
        <v>0</v>
      </c>
      <c r="K313" s="128"/>
      <c r="L313" s="129"/>
    </row>
    <row r="314" spans="1:15" x14ac:dyDescent="0.25">
      <c r="A314" s="130"/>
      <c r="B314" s="975" t="s">
        <v>225</v>
      </c>
      <c r="C314" s="976"/>
      <c r="D314" s="126">
        <v>226.524</v>
      </c>
      <c r="E314" s="126">
        <f t="shared" si="152"/>
        <v>226.42400000000001</v>
      </c>
      <c r="F314" s="127">
        <f t="shared" si="153"/>
        <v>-0.1</v>
      </c>
      <c r="G314" s="128">
        <v>5</v>
      </c>
      <c r="H314" s="128">
        <v>20</v>
      </c>
      <c r="I314" s="128">
        <f t="shared" si="154"/>
        <v>10</v>
      </c>
      <c r="J314" s="128">
        <f t="shared" si="155"/>
        <v>0</v>
      </c>
      <c r="K314" s="128"/>
      <c r="L314" s="129"/>
    </row>
    <row r="315" spans="1:15" x14ac:dyDescent="0.25">
      <c r="A315" s="130"/>
      <c r="B315" s="975" t="s">
        <v>226</v>
      </c>
      <c r="C315" s="976"/>
      <c r="D315" s="126">
        <v>226.19</v>
      </c>
      <c r="E315" s="126">
        <f t="shared" si="152"/>
        <v>226.09</v>
      </c>
      <c r="F315" s="127">
        <f t="shared" si="153"/>
        <v>-0.1</v>
      </c>
      <c r="G315" s="128">
        <v>5</v>
      </c>
      <c r="H315" s="128">
        <v>20</v>
      </c>
      <c r="I315" s="128">
        <f t="shared" si="154"/>
        <v>10</v>
      </c>
      <c r="J315" s="128">
        <f t="shared" si="155"/>
        <v>0</v>
      </c>
      <c r="K315" s="128"/>
      <c r="L315" s="129"/>
    </row>
    <row r="316" spans="1:15" x14ac:dyDescent="0.25">
      <c r="A316" s="130"/>
      <c r="B316" s="975" t="s">
        <v>521</v>
      </c>
      <c r="C316" s="976"/>
      <c r="D316" s="126">
        <v>225.209</v>
      </c>
      <c r="E316" s="126">
        <f t="shared" si="152"/>
        <v>225.10900000000001</v>
      </c>
      <c r="F316" s="127">
        <f t="shared" si="153"/>
        <v>-0.1</v>
      </c>
      <c r="G316" s="128">
        <v>5</v>
      </c>
      <c r="H316" s="128">
        <v>13.64</v>
      </c>
      <c r="I316" s="128">
        <f t="shared" si="154"/>
        <v>6.82</v>
      </c>
      <c r="J316" s="128">
        <f t="shared" si="155"/>
        <v>0</v>
      </c>
      <c r="K316" s="128"/>
      <c r="L316" s="129"/>
    </row>
    <row r="317" spans="1:15" ht="15.75" thickBot="1" x14ac:dyDescent="0.3">
      <c r="A317" s="195"/>
      <c r="B317" s="196"/>
      <c r="C317" s="197"/>
      <c r="D317" s="198"/>
      <c r="E317" s="199"/>
      <c r="F317" s="200"/>
      <c r="G317" s="199"/>
      <c r="H317" s="201">
        <f>SUM(H306:H316)</f>
        <v>193.64</v>
      </c>
      <c r="I317" s="201">
        <f>SUM(I306:I316)</f>
        <v>96.82</v>
      </c>
      <c r="J317" s="201">
        <f>SUM(J306:J316)</f>
        <v>0</v>
      </c>
      <c r="K317" s="202"/>
      <c r="L317" s="203"/>
    </row>
    <row r="318" spans="1:15" ht="15.75" thickBot="1" x14ac:dyDescent="0.3">
      <c r="A318" s="955" t="s">
        <v>206</v>
      </c>
      <c r="B318" s="956"/>
      <c r="C318" s="956"/>
      <c r="D318" s="956"/>
      <c r="E318" s="956"/>
      <c r="F318" s="956"/>
      <c r="G318" s="956"/>
      <c r="H318" s="957"/>
      <c r="I318" s="386">
        <f>I317+I304+I291+I281+I263+I247+I171+I143+I133+I116+I107+I86+I73+I63+I54+I43+I33+I25+I18</f>
        <v>2995.45</v>
      </c>
      <c r="J318" s="360"/>
      <c r="K318" s="360"/>
      <c r="L318" s="361"/>
    </row>
    <row r="322" spans="14:14" ht="14.45" customHeight="1" x14ac:dyDescent="0.25"/>
    <row r="333" spans="14:14" x14ac:dyDescent="0.25">
      <c r="N333" s="303"/>
    </row>
    <row r="337" ht="16.149999999999999" customHeight="1" x14ac:dyDescent="0.25"/>
    <row r="343" ht="20.45" customHeight="1" x14ac:dyDescent="0.25"/>
    <row r="345" ht="22.15" customHeight="1" x14ac:dyDescent="0.25"/>
    <row r="348" ht="14.45" customHeight="1" x14ac:dyDescent="0.25"/>
    <row r="358" ht="20.45" customHeight="1" x14ac:dyDescent="0.25"/>
    <row r="363" ht="14.45" customHeight="1" x14ac:dyDescent="0.25"/>
    <row r="371" ht="22.15" customHeight="1" x14ac:dyDescent="0.25"/>
    <row r="389" ht="14.45" customHeight="1" x14ac:dyDescent="0.25"/>
    <row r="393" ht="21" customHeight="1" x14ac:dyDescent="0.25"/>
    <row r="399" ht="14.45" customHeight="1" x14ac:dyDescent="0.25"/>
    <row r="406" ht="14.45" customHeight="1" x14ac:dyDescent="0.25"/>
    <row r="407" ht="13.15" customHeight="1" x14ac:dyDescent="0.25"/>
    <row r="408" ht="21.6" customHeight="1" x14ac:dyDescent="0.25"/>
    <row r="418" spans="13:13" ht="14.45" customHeight="1" x14ac:dyDescent="0.25"/>
    <row r="422" spans="13:13" ht="13.15" customHeight="1" x14ac:dyDescent="0.25"/>
    <row r="423" spans="13:13" x14ac:dyDescent="0.25">
      <c r="M423" s="303"/>
    </row>
    <row r="434" spans="14:14" x14ac:dyDescent="0.25">
      <c r="N434" s="303"/>
    </row>
    <row r="435" spans="14:14" ht="23.45" customHeight="1" x14ac:dyDescent="0.25"/>
    <row r="441" spans="14:14" ht="24.6" customHeight="1" x14ac:dyDescent="0.25"/>
    <row r="446" spans="14:14" ht="14.45" customHeight="1" x14ac:dyDescent="0.25"/>
    <row r="452" spans="14:14" x14ac:dyDescent="0.25">
      <c r="N452" s="303"/>
    </row>
    <row r="453" spans="14:14" ht="13.9" customHeight="1" x14ac:dyDescent="0.25"/>
    <row r="454" spans="14:14" ht="14.45" customHeight="1" x14ac:dyDescent="0.25"/>
    <row r="464" spans="14:14" x14ac:dyDescent="0.25">
      <c r="N464" s="303"/>
    </row>
    <row r="468" spans="14:14" ht="14.45" customHeight="1" x14ac:dyDescent="0.25"/>
    <row r="472" spans="14:14" x14ac:dyDescent="0.25">
      <c r="N472" s="303"/>
    </row>
    <row r="481" spans="14:14" x14ac:dyDescent="0.25">
      <c r="N481" s="303"/>
    </row>
    <row r="483" spans="14:14" ht="14.45" customHeight="1" x14ac:dyDescent="0.25"/>
    <row r="491" spans="14:14" ht="24.6" customHeight="1" x14ac:dyDescent="0.25"/>
    <row r="494" spans="14:14" ht="15.6" customHeight="1" x14ac:dyDescent="0.25"/>
    <row r="496" spans="14:14" ht="14.45" customHeight="1" x14ac:dyDescent="0.25"/>
    <row r="502" ht="15" customHeight="1" x14ac:dyDescent="0.25"/>
    <row r="514" ht="14.45" customHeight="1" x14ac:dyDescent="0.25"/>
    <row r="526" ht="14.45" customHeight="1" x14ac:dyDescent="0.25"/>
    <row r="534" spans="14:14" ht="14.45" customHeight="1" x14ac:dyDescent="0.25"/>
    <row r="538" spans="14:14" x14ac:dyDescent="0.25">
      <c r="N538" s="303"/>
    </row>
    <row r="540" spans="14:14" ht="24.6" customHeight="1" x14ac:dyDescent="0.25"/>
    <row r="551" spans="14:14" ht="14.45" customHeight="1" x14ac:dyDescent="0.25"/>
    <row r="552" spans="14:14" x14ac:dyDescent="0.25">
      <c r="N552" s="303"/>
    </row>
    <row r="600" ht="14.45" customHeight="1" x14ac:dyDescent="0.25"/>
    <row r="614" ht="14.45" customHeight="1" x14ac:dyDescent="0.25"/>
    <row r="621" ht="14.45" customHeight="1" x14ac:dyDescent="0.25"/>
  </sheetData>
  <mergeCells count="239">
    <mergeCell ref="B245:C245"/>
    <mergeCell ref="B246:C246"/>
    <mergeCell ref="B231:C231"/>
    <mergeCell ref="B232:C232"/>
    <mergeCell ref="B233:C233"/>
    <mergeCell ref="B234:C234"/>
    <mergeCell ref="B235:C235"/>
    <mergeCell ref="B236:C236"/>
    <mergeCell ref="B237:C237"/>
    <mergeCell ref="B238:C238"/>
    <mergeCell ref="B239:C239"/>
    <mergeCell ref="B227:C227"/>
    <mergeCell ref="B228:C228"/>
    <mergeCell ref="B229:C229"/>
    <mergeCell ref="B230:C230"/>
    <mergeCell ref="B240:C240"/>
    <mergeCell ref="B241:C241"/>
    <mergeCell ref="B242:C242"/>
    <mergeCell ref="B243:C243"/>
    <mergeCell ref="B244:C244"/>
    <mergeCell ref="B218:C218"/>
    <mergeCell ref="B219:C219"/>
    <mergeCell ref="B220:C220"/>
    <mergeCell ref="B221:C221"/>
    <mergeCell ref="B222:C222"/>
    <mergeCell ref="B223:C223"/>
    <mergeCell ref="B224:C224"/>
    <mergeCell ref="B225:C225"/>
    <mergeCell ref="B226:C226"/>
    <mergeCell ref="B209:C209"/>
    <mergeCell ref="B210:C210"/>
    <mergeCell ref="B211:C211"/>
    <mergeCell ref="B212:C212"/>
    <mergeCell ref="B213:C213"/>
    <mergeCell ref="B214:C214"/>
    <mergeCell ref="B215:C215"/>
    <mergeCell ref="B216:C216"/>
    <mergeCell ref="B217:C217"/>
    <mergeCell ref="B112:C112"/>
    <mergeCell ref="B113:C113"/>
    <mergeCell ref="B140:C140"/>
    <mergeCell ref="B141:C141"/>
    <mergeCell ref="B153:C153"/>
    <mergeCell ref="B154:C154"/>
    <mergeCell ref="B155:C155"/>
    <mergeCell ref="B156:C156"/>
    <mergeCell ref="B157:C157"/>
    <mergeCell ref="B128:C128"/>
    <mergeCell ref="B129:C129"/>
    <mergeCell ref="B130:C130"/>
    <mergeCell ref="B131:C131"/>
    <mergeCell ref="B132:C132"/>
    <mergeCell ref="B144:C144"/>
    <mergeCell ref="B145:C145"/>
    <mergeCell ref="B146:C146"/>
    <mergeCell ref="B147:C147"/>
    <mergeCell ref="B148:C148"/>
    <mergeCell ref="B142:C142"/>
    <mergeCell ref="B310:C310"/>
    <mergeCell ref="B311:C311"/>
    <mergeCell ref="B312:C312"/>
    <mergeCell ref="B313:C313"/>
    <mergeCell ref="B314:C314"/>
    <mergeCell ref="B315:C315"/>
    <mergeCell ref="B316:C316"/>
    <mergeCell ref="B122:C122"/>
    <mergeCell ref="B123:C123"/>
    <mergeCell ref="B124:C124"/>
    <mergeCell ref="B125:C125"/>
    <mergeCell ref="B126:C126"/>
    <mergeCell ref="B127:C127"/>
    <mergeCell ref="B158:C158"/>
    <mergeCell ref="B195:C195"/>
    <mergeCell ref="B196:C196"/>
    <mergeCell ref="B197:C197"/>
    <mergeCell ref="B198:C198"/>
    <mergeCell ref="B199:C199"/>
    <mergeCell ref="B200:C200"/>
    <mergeCell ref="B201:C201"/>
    <mergeCell ref="B202:C202"/>
    <mergeCell ref="B203:C203"/>
    <mergeCell ref="B204:C204"/>
    <mergeCell ref="B305:C305"/>
    <mergeCell ref="B306:C306"/>
    <mergeCell ref="B307:C307"/>
    <mergeCell ref="B308:C308"/>
    <mergeCell ref="B309:C309"/>
    <mergeCell ref="B292:C292"/>
    <mergeCell ref="B293:C293"/>
    <mergeCell ref="B298:C298"/>
    <mergeCell ref="B303:C303"/>
    <mergeCell ref="B299:C299"/>
    <mergeCell ref="B300:C300"/>
    <mergeCell ref="B301:C301"/>
    <mergeCell ref="B294:C294"/>
    <mergeCell ref="B295:C295"/>
    <mergeCell ref="B296:C296"/>
    <mergeCell ref="B297:C297"/>
    <mergeCell ref="B302:C302"/>
    <mergeCell ref="B283:C283"/>
    <mergeCell ref="B284:C284"/>
    <mergeCell ref="B285:C285"/>
    <mergeCell ref="B290:C290"/>
    <mergeCell ref="B282:C282"/>
    <mergeCell ref="B264:C264"/>
    <mergeCell ref="B286:C286"/>
    <mergeCell ref="B287:C287"/>
    <mergeCell ref="B288:C288"/>
    <mergeCell ref="B289:C289"/>
    <mergeCell ref="B172:C172"/>
    <mergeCell ref="B173:C173"/>
    <mergeCell ref="B174:C174"/>
    <mergeCell ref="B175:C175"/>
    <mergeCell ref="B176:C176"/>
    <mergeCell ref="B253:C253"/>
    <mergeCell ref="B254:C254"/>
    <mergeCell ref="B255:C255"/>
    <mergeCell ref="B262:C262"/>
    <mergeCell ref="B248:C248"/>
    <mergeCell ref="B249:C249"/>
    <mergeCell ref="B250:C250"/>
    <mergeCell ref="B251:C251"/>
    <mergeCell ref="B252:C252"/>
    <mergeCell ref="B256:C256"/>
    <mergeCell ref="B257:C257"/>
    <mergeCell ref="B258:C258"/>
    <mergeCell ref="B259:C259"/>
    <mergeCell ref="B260:C260"/>
    <mergeCell ref="B261:C261"/>
    <mergeCell ref="B205:C205"/>
    <mergeCell ref="B206:C206"/>
    <mergeCell ref="B207:C207"/>
    <mergeCell ref="B208:C208"/>
    <mergeCell ref="B184:C184"/>
    <mergeCell ref="B185:C185"/>
    <mergeCell ref="B186:C186"/>
    <mergeCell ref="B187:C187"/>
    <mergeCell ref="B188:C188"/>
    <mergeCell ref="B189:C189"/>
    <mergeCell ref="B177:C177"/>
    <mergeCell ref="B178:C178"/>
    <mergeCell ref="B179:C179"/>
    <mergeCell ref="B180:C180"/>
    <mergeCell ref="B190:C190"/>
    <mergeCell ref="B191:C191"/>
    <mergeCell ref="B192:C192"/>
    <mergeCell ref="B193:C193"/>
    <mergeCell ref="B194:C194"/>
    <mergeCell ref="B149:C149"/>
    <mergeCell ref="B150:C150"/>
    <mergeCell ref="B151:C151"/>
    <mergeCell ref="B152:C152"/>
    <mergeCell ref="B159:C159"/>
    <mergeCell ref="B160:C160"/>
    <mergeCell ref="B161:C161"/>
    <mergeCell ref="B162:C162"/>
    <mergeCell ref="B163:C163"/>
    <mergeCell ref="B164:C164"/>
    <mergeCell ref="B165:C165"/>
    <mergeCell ref="B166:C166"/>
    <mergeCell ref="B167:C167"/>
    <mergeCell ref="B168:C168"/>
    <mergeCell ref="B169:C169"/>
    <mergeCell ref="B170:C170"/>
    <mergeCell ref="B181:C181"/>
    <mergeCell ref="B182:C182"/>
    <mergeCell ref="B183:C183"/>
    <mergeCell ref="D4:L4"/>
    <mergeCell ref="D3:L3"/>
    <mergeCell ref="B134:C134"/>
    <mergeCell ref="B135:C135"/>
    <mergeCell ref="B136:C136"/>
    <mergeCell ref="B137:C137"/>
    <mergeCell ref="B138:C138"/>
    <mergeCell ref="B139:C139"/>
    <mergeCell ref="B117:C117"/>
    <mergeCell ref="B118:C118"/>
    <mergeCell ref="B119:C119"/>
    <mergeCell ref="B120:C120"/>
    <mergeCell ref="B121:C121"/>
    <mergeCell ref="B109:C109"/>
    <mergeCell ref="B110:C110"/>
    <mergeCell ref="B108:C108"/>
    <mergeCell ref="B111:C111"/>
    <mergeCell ref="B114:C114"/>
    <mergeCell ref="B115:C115"/>
    <mergeCell ref="B87:C87"/>
    <mergeCell ref="B88:C88"/>
    <mergeCell ref="B89:C89"/>
    <mergeCell ref="B90:C90"/>
    <mergeCell ref="B91:C91"/>
    <mergeCell ref="B104:C104"/>
    <mergeCell ref="B105:C105"/>
    <mergeCell ref="B106:C106"/>
    <mergeCell ref="B83:C83"/>
    <mergeCell ref="B84:C84"/>
    <mergeCell ref="B85:C85"/>
    <mergeCell ref="B92:C92"/>
    <mergeCell ref="B93:C93"/>
    <mergeCell ref="B94:C94"/>
    <mergeCell ref="B95:C95"/>
    <mergeCell ref="B96:C96"/>
    <mergeCell ref="B97:C97"/>
    <mergeCell ref="B98:C98"/>
    <mergeCell ref="B99:C99"/>
    <mergeCell ref="B100:C100"/>
    <mergeCell ref="B74:C74"/>
    <mergeCell ref="B75:C75"/>
    <mergeCell ref="B76:C76"/>
    <mergeCell ref="B77:C77"/>
    <mergeCell ref="B78:C78"/>
    <mergeCell ref="B79:C79"/>
    <mergeCell ref="B101:C101"/>
    <mergeCell ref="B102:C102"/>
    <mergeCell ref="B103:C103"/>
    <mergeCell ref="A318:H318"/>
    <mergeCell ref="A8:L8"/>
    <mergeCell ref="B55:C55"/>
    <mergeCell ref="A11:L11"/>
    <mergeCell ref="B12:C12"/>
    <mergeCell ref="B9:L9"/>
    <mergeCell ref="B10:L10"/>
    <mergeCell ref="B13:C13"/>
    <mergeCell ref="B19:C19"/>
    <mergeCell ref="B26:C26"/>
    <mergeCell ref="B34:C34"/>
    <mergeCell ref="B44:C44"/>
    <mergeCell ref="B82:C82"/>
    <mergeCell ref="B80:C80"/>
    <mergeCell ref="B81:C81"/>
    <mergeCell ref="B64:C64"/>
    <mergeCell ref="B65:C65"/>
    <mergeCell ref="B66:C66"/>
    <mergeCell ref="B67:C67"/>
    <mergeCell ref="B68:C68"/>
    <mergeCell ref="B69:C69"/>
    <mergeCell ref="B70:C70"/>
    <mergeCell ref="B71:C71"/>
    <mergeCell ref="B72:C72"/>
  </mergeCells>
  <pageMargins left="0.51181102362204722" right="0.51181102362204722" top="0.78740157480314965" bottom="0.78740157480314965" header="0.31496062992125984" footer="0.31496062992125984"/>
  <pageSetup paperSize="9" scale="82" orientation="portrait" horizontalDpi="360" verticalDpi="36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C000"/>
  </sheetPr>
  <dimension ref="A1:AC63"/>
  <sheetViews>
    <sheetView view="pageBreakPreview" zoomScale="70" zoomScaleNormal="70" zoomScaleSheetLayoutView="70" workbookViewId="0">
      <pane xSplit="28" ySplit="11" topLeftCell="AC12" activePane="bottomRight" state="frozen"/>
      <selection pane="topRight" activeCell="AC1" sqref="AC1"/>
      <selection pane="bottomLeft" activeCell="A12" sqref="A12"/>
      <selection pane="bottomRight" activeCell="Q14" sqref="Q14"/>
    </sheetView>
  </sheetViews>
  <sheetFormatPr defaultRowHeight="15" x14ac:dyDescent="0.25"/>
  <cols>
    <col min="1" max="1" width="18.7109375" customWidth="1"/>
    <col min="2" max="2" width="14.140625" customWidth="1"/>
    <col min="3" max="3" width="10" customWidth="1"/>
    <col min="4" max="4" width="0" hidden="1" customWidth="1"/>
    <col min="7" max="10" width="0" hidden="1" customWidth="1"/>
    <col min="11" max="11" width="9.85546875" customWidth="1"/>
    <col min="12" max="12" width="10.140625" customWidth="1"/>
    <col min="13" max="13" width="11.7109375" customWidth="1"/>
    <col min="14" max="14" width="11.28515625" customWidth="1"/>
    <col min="15" max="15" width="11.140625" customWidth="1"/>
    <col min="16" max="16" width="10.7109375" customWidth="1"/>
    <col min="17" max="17" width="8" customWidth="1"/>
    <col min="18" max="18" width="9.5703125" customWidth="1"/>
    <col min="19" max="19" width="7.85546875" customWidth="1"/>
    <col min="20" max="20" width="13.28515625" customWidth="1"/>
    <col min="21" max="21" width="10.42578125" customWidth="1"/>
    <col min="22" max="22" width="9.42578125" customWidth="1"/>
    <col min="23" max="23" width="9.7109375" customWidth="1"/>
    <col min="24" max="24" width="11.140625" customWidth="1"/>
    <col min="26" max="26" width="14.7109375" customWidth="1"/>
    <col min="27" max="27" width="11.5703125" customWidth="1"/>
    <col min="28" max="28" width="11.28515625" customWidth="1"/>
    <col min="29" max="29" width="11.5703125" customWidth="1"/>
  </cols>
  <sheetData>
    <row r="1" spans="1:29" ht="15.6" customHeight="1" x14ac:dyDescent="0.25">
      <c r="A1" s="93"/>
      <c r="B1" s="94"/>
      <c r="C1" s="94"/>
      <c r="D1" s="94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95"/>
      <c r="Z1" s="95"/>
      <c r="AA1" s="95"/>
      <c r="AB1" s="95"/>
      <c r="AC1" s="96"/>
    </row>
    <row r="2" spans="1:29" ht="20.25" x14ac:dyDescent="0.25">
      <c r="A2" s="97"/>
      <c r="B2" s="29"/>
      <c r="C2" s="29"/>
      <c r="D2" s="52" t="s">
        <v>0</v>
      </c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8"/>
    </row>
    <row r="3" spans="1:29" ht="15.6" customHeight="1" x14ac:dyDescent="0.25">
      <c r="A3" s="97"/>
      <c r="B3" s="29"/>
      <c r="C3" s="29"/>
      <c r="D3" s="53" t="s">
        <v>1</v>
      </c>
      <c r="E3" s="863" t="s">
        <v>0</v>
      </c>
      <c r="F3" s="863"/>
      <c r="G3" s="863"/>
      <c r="H3" s="863"/>
      <c r="I3" s="863"/>
      <c r="J3" s="863"/>
      <c r="K3" s="863"/>
      <c r="L3" s="863"/>
      <c r="M3" s="863"/>
      <c r="N3" s="863"/>
      <c r="O3" s="863"/>
      <c r="P3" s="863"/>
      <c r="Q3" s="863"/>
      <c r="R3" s="863"/>
      <c r="S3" s="863"/>
      <c r="T3" s="863"/>
      <c r="U3" s="863"/>
      <c r="V3" s="863"/>
      <c r="W3" s="863"/>
      <c r="X3" s="863"/>
      <c r="Y3" s="863"/>
      <c r="Z3" s="863"/>
      <c r="AA3" s="863"/>
      <c r="AB3" s="863"/>
      <c r="AC3" s="1009"/>
    </row>
    <row r="4" spans="1:29" ht="15.75" x14ac:dyDescent="0.25">
      <c r="A4" s="97"/>
      <c r="B4" s="29"/>
      <c r="C4" s="29"/>
      <c r="D4" s="54"/>
      <c r="E4" s="865" t="s">
        <v>1</v>
      </c>
      <c r="F4" s="865"/>
      <c r="G4" s="865"/>
      <c r="H4" s="865"/>
      <c r="I4" s="865"/>
      <c r="J4" s="865"/>
      <c r="K4" s="865"/>
      <c r="L4" s="865"/>
      <c r="M4" s="865"/>
      <c r="N4" s="865"/>
      <c r="O4" s="865"/>
      <c r="P4" s="865"/>
      <c r="Q4" s="865"/>
      <c r="R4" s="865"/>
      <c r="S4" s="865"/>
      <c r="T4" s="865"/>
      <c r="U4" s="865"/>
      <c r="V4" s="865"/>
      <c r="W4" s="865"/>
      <c r="X4" s="865"/>
      <c r="Y4" s="865"/>
      <c r="Z4" s="865"/>
      <c r="AA4" s="865"/>
      <c r="AB4" s="865"/>
      <c r="AC4" s="1008"/>
    </row>
    <row r="5" spans="1:29" ht="21.6" customHeight="1" x14ac:dyDescent="0.25">
      <c r="A5" s="97"/>
      <c r="B5" s="29"/>
      <c r="C5" s="29"/>
      <c r="D5" s="29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  <c r="AA5" s="54"/>
      <c r="AB5" s="54"/>
      <c r="AC5" s="99"/>
    </row>
    <row r="6" spans="1:29" ht="9" customHeight="1" thickBot="1" x14ac:dyDescent="0.3">
      <c r="A6" s="102"/>
      <c r="B6" s="103"/>
      <c r="C6" s="103"/>
      <c r="D6" s="103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91"/>
      <c r="S6" s="91"/>
      <c r="T6" s="91"/>
      <c r="U6" s="91"/>
      <c r="V6" s="91"/>
      <c r="W6" s="91"/>
      <c r="X6" s="91"/>
      <c r="Y6" s="91"/>
      <c r="Z6" s="91"/>
      <c r="AA6" s="91"/>
      <c r="AB6" s="91"/>
      <c r="AC6" s="101"/>
    </row>
    <row r="7" spans="1:29" ht="24.6" customHeight="1" thickBot="1" x14ac:dyDescent="0.3">
      <c r="A7" s="1015" t="s">
        <v>236</v>
      </c>
      <c r="B7" s="1016"/>
      <c r="C7" s="1016"/>
      <c r="D7" s="1016"/>
      <c r="E7" s="1016"/>
      <c r="F7" s="1016"/>
      <c r="G7" s="1016"/>
      <c r="H7" s="1016"/>
      <c r="I7" s="1016"/>
      <c r="J7" s="1016"/>
      <c r="K7" s="1016"/>
      <c r="L7" s="1016"/>
      <c r="M7" s="1016"/>
      <c r="N7" s="1016"/>
      <c r="O7" s="1016"/>
      <c r="P7" s="1016"/>
      <c r="Q7" s="1016"/>
      <c r="R7" s="1016"/>
      <c r="S7" s="1016"/>
      <c r="T7" s="1016"/>
      <c r="U7" s="1016"/>
      <c r="V7" s="1016"/>
      <c r="W7" s="1016"/>
      <c r="X7" s="1016"/>
      <c r="Y7" s="1016"/>
      <c r="Z7" s="1016"/>
      <c r="AA7" s="1016"/>
      <c r="AB7" s="1016"/>
      <c r="AC7" s="1017"/>
    </row>
    <row r="8" spans="1:29" ht="31.9" customHeight="1" thickBot="1" x14ac:dyDescent="0.35">
      <c r="A8" s="62"/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</row>
    <row r="9" spans="1:29" ht="18.600000000000001" customHeight="1" x14ac:dyDescent="0.25">
      <c r="A9" s="1002" t="s">
        <v>237</v>
      </c>
      <c r="B9" s="1005" t="s">
        <v>238</v>
      </c>
      <c r="C9" s="998" t="s">
        <v>239</v>
      </c>
      <c r="D9" s="1005" t="s">
        <v>240</v>
      </c>
      <c r="E9" s="1005" t="s">
        <v>241</v>
      </c>
      <c r="F9" s="998" t="s">
        <v>242</v>
      </c>
      <c r="G9" s="1005" t="s">
        <v>243</v>
      </c>
      <c r="H9" s="998" t="s">
        <v>244</v>
      </c>
      <c r="I9" s="998" t="s">
        <v>245</v>
      </c>
      <c r="J9" s="998" t="s">
        <v>246</v>
      </c>
      <c r="K9" s="998" t="s">
        <v>247</v>
      </c>
      <c r="L9" s="998" t="s">
        <v>248</v>
      </c>
      <c r="M9" s="998" t="s">
        <v>249</v>
      </c>
      <c r="N9" s="998" t="s">
        <v>250</v>
      </c>
      <c r="O9" s="998" t="s">
        <v>251</v>
      </c>
      <c r="P9" s="998" t="s">
        <v>252</v>
      </c>
      <c r="Q9" s="1010" t="s">
        <v>253</v>
      </c>
      <c r="R9" s="998" t="s">
        <v>254</v>
      </c>
      <c r="S9" s="998" t="s">
        <v>255</v>
      </c>
      <c r="T9" s="998" t="s">
        <v>256</v>
      </c>
      <c r="U9" s="998" t="s">
        <v>257</v>
      </c>
      <c r="V9" s="998" t="s">
        <v>258</v>
      </c>
      <c r="W9" s="998" t="s">
        <v>259</v>
      </c>
      <c r="X9" s="998" t="s">
        <v>268</v>
      </c>
      <c r="Y9" s="998" t="s">
        <v>260</v>
      </c>
      <c r="Z9" s="998" t="s">
        <v>261</v>
      </c>
      <c r="AA9" s="998" t="s">
        <v>262</v>
      </c>
      <c r="AB9" s="998" t="s">
        <v>263</v>
      </c>
      <c r="AC9" s="1012" t="s">
        <v>264</v>
      </c>
    </row>
    <row r="10" spans="1:29" x14ac:dyDescent="0.25">
      <c r="A10" s="1003"/>
      <c r="B10" s="1006"/>
      <c r="C10" s="999"/>
      <c r="D10" s="1006"/>
      <c r="E10" s="1006"/>
      <c r="F10" s="999"/>
      <c r="G10" s="1006"/>
      <c r="H10" s="999"/>
      <c r="I10" s="999"/>
      <c r="J10" s="999"/>
      <c r="K10" s="999"/>
      <c r="L10" s="999"/>
      <c r="M10" s="999"/>
      <c r="N10" s="999"/>
      <c r="O10" s="999"/>
      <c r="P10" s="999"/>
      <c r="Q10" s="1011"/>
      <c r="R10" s="999"/>
      <c r="S10" s="999"/>
      <c r="T10" s="999"/>
      <c r="U10" s="999"/>
      <c r="V10" s="999"/>
      <c r="W10" s="999"/>
      <c r="X10" s="999"/>
      <c r="Y10" s="999"/>
      <c r="Z10" s="999"/>
      <c r="AA10" s="999"/>
      <c r="AB10" s="999"/>
      <c r="AC10" s="1013"/>
    </row>
    <row r="11" spans="1:29" ht="27" customHeight="1" x14ac:dyDescent="0.25">
      <c r="A11" s="1004"/>
      <c r="B11" s="1007"/>
      <c r="C11" s="1000"/>
      <c r="D11" s="1007"/>
      <c r="E11" s="1007"/>
      <c r="F11" s="1000"/>
      <c r="G11" s="1007"/>
      <c r="H11" s="1000"/>
      <c r="I11" s="1000"/>
      <c r="J11" s="1000"/>
      <c r="K11" s="1000"/>
      <c r="L11" s="1000"/>
      <c r="M11" s="1000"/>
      <c r="N11" s="1000"/>
      <c r="O11" s="1000"/>
      <c r="P11" s="1000"/>
      <c r="Q11" s="1011"/>
      <c r="R11" s="1000"/>
      <c r="S11" s="1000"/>
      <c r="T11" s="1000"/>
      <c r="U11" s="1000"/>
      <c r="V11" s="1000"/>
      <c r="W11" s="1000"/>
      <c r="X11" s="1000"/>
      <c r="Y11" s="1000"/>
      <c r="Z11" s="1000"/>
      <c r="AA11" s="1000"/>
      <c r="AB11" s="1000"/>
      <c r="AC11" s="1014"/>
    </row>
    <row r="12" spans="1:29" ht="39.6" customHeight="1" x14ac:dyDescent="0.25">
      <c r="A12" s="1001" t="s">
        <v>449</v>
      </c>
      <c r="B12" s="388" t="s">
        <v>524</v>
      </c>
      <c r="C12" s="389">
        <f>4.33+3.8</f>
        <v>8.1300000000000008</v>
      </c>
      <c r="D12" s="64">
        <v>6.6000000000000003E-2</v>
      </c>
      <c r="E12" s="65">
        <v>0.4</v>
      </c>
      <c r="F12" s="65" t="s">
        <v>526</v>
      </c>
      <c r="G12" s="64">
        <v>0.23899999999999999</v>
      </c>
      <c r="H12" s="64">
        <v>2.2799999999999998</v>
      </c>
      <c r="I12" s="64">
        <v>0.48299999999999998</v>
      </c>
      <c r="J12" s="64">
        <v>3.04</v>
      </c>
      <c r="K12" s="65" t="s">
        <v>526</v>
      </c>
      <c r="L12" s="65" t="s">
        <v>526</v>
      </c>
      <c r="M12" s="65" t="s">
        <v>526</v>
      </c>
      <c r="N12" s="65" t="s">
        <v>526</v>
      </c>
      <c r="O12" s="68">
        <v>1.6</v>
      </c>
      <c r="P12" s="69">
        <v>1.6</v>
      </c>
      <c r="Q12" s="69">
        <f>(O12+P12)/2</f>
        <v>1.6</v>
      </c>
      <c r="R12" s="69">
        <v>0.01</v>
      </c>
      <c r="S12" s="71">
        <v>1.5</v>
      </c>
      <c r="T12" s="72" t="s">
        <v>265</v>
      </c>
      <c r="U12" s="59">
        <f>IF(P12&lt;1.5,C12*S12*(P12+0.15),C12*S12*(1.5))</f>
        <v>18.29</v>
      </c>
      <c r="V12" s="59">
        <f>IF(Q12&lt;1.5,0,C12*S12*((Q12-1.5)+0.15))</f>
        <v>3.05</v>
      </c>
      <c r="W12" s="58">
        <f>IF(SUM(U12:V12)-C12*PI()*((E12+0.1)^2)/4-X12&lt;0,0,SUM(U12:V12)-C12*PI()*((E12+0.1)^2)/4-X12)</f>
        <v>17.91</v>
      </c>
      <c r="X12" s="58">
        <f>IF(E12&lt; 0.61,0.15*C12*S12,0.15*C12*S12)</f>
        <v>1.83</v>
      </c>
      <c r="Y12" s="59">
        <f>U12+V12-W12</f>
        <v>3.43</v>
      </c>
      <c r="Z12" s="58">
        <f>IF(Q12&lt;1.25,0,Q12*C12*2)</f>
        <v>26.02</v>
      </c>
      <c r="AA12" s="58" t="s">
        <v>526</v>
      </c>
      <c r="AB12" s="58" t="str">
        <f t="shared" ref="AB12:AB13" si="0">IF(O12&lt;2,"-",IF(O12&lt;=3,"CPV 01",IF(O12&lt;=3.5,"CPV 02",IF(O12&lt;=4,"CPV 03",IF(O12&lt;=4.5,"CPV 04",IF(O12&lt;=5,"CPV 05",IF(O12&lt;=5.5,"CPV 06")))))))</f>
        <v>-</v>
      </c>
      <c r="AC12" s="63" t="s">
        <v>267</v>
      </c>
    </row>
    <row r="13" spans="1:29" ht="33" x14ac:dyDescent="0.25">
      <c r="A13" s="1001"/>
      <c r="B13" s="388" t="s">
        <v>525</v>
      </c>
      <c r="C13" s="389">
        <f>4.83+3.83+4.54+5.86+4.75+4.71</f>
        <v>28.52</v>
      </c>
      <c r="D13" s="64">
        <v>6.6000000000000003E-2</v>
      </c>
      <c r="E13" s="65">
        <v>0.4</v>
      </c>
      <c r="F13" s="65" t="s">
        <v>526</v>
      </c>
      <c r="G13" s="64">
        <v>0.23899999999999999</v>
      </c>
      <c r="H13" s="64">
        <v>2.2799999999999998</v>
      </c>
      <c r="I13" s="64">
        <v>0.48299999999999998</v>
      </c>
      <c r="J13" s="64">
        <v>3.04</v>
      </c>
      <c r="K13" s="65" t="s">
        <v>526</v>
      </c>
      <c r="L13" s="65" t="s">
        <v>526</v>
      </c>
      <c r="M13" s="65" t="s">
        <v>526</v>
      </c>
      <c r="N13" s="65" t="s">
        <v>526</v>
      </c>
      <c r="O13" s="68">
        <v>1.5</v>
      </c>
      <c r="P13" s="69">
        <v>1.5</v>
      </c>
      <c r="Q13" s="69">
        <f>(O13+P13)/2</f>
        <v>1.5</v>
      </c>
      <c r="R13" s="69">
        <v>0.01</v>
      </c>
      <c r="S13" s="71">
        <v>1.5</v>
      </c>
      <c r="T13" s="72" t="s">
        <v>265</v>
      </c>
      <c r="U13" s="59">
        <f>IF(P13&lt;1.5,C13*S13*(P13+0.15),C13*S13*(1.5))</f>
        <v>64.17</v>
      </c>
      <c r="V13" s="59">
        <f>IF(Q13&lt;1.5,0,C13*S13*((Q13-1.5)+0.15))</f>
        <v>6.42</v>
      </c>
      <c r="W13" s="58">
        <f>IF(SUM(U13:V13)-C13*PI()*((E13+0.1)^2)/4-X13&lt;0,0,SUM(U13:V13)-C13*PI()*((E13+0.1)^2)/4-X13)</f>
        <v>58.57</v>
      </c>
      <c r="X13" s="58">
        <f>IF(E13&lt; 0.61,0.15*C13*S13,0.15*C13*S13)</f>
        <v>6.42</v>
      </c>
      <c r="Y13" s="59">
        <f>U13+V13-W13</f>
        <v>12.02</v>
      </c>
      <c r="Z13" s="58">
        <f>IF(Q13&lt;1.25,0,Q13*C13*2)</f>
        <v>85.56</v>
      </c>
      <c r="AA13" s="58" t="s">
        <v>526</v>
      </c>
      <c r="AB13" s="58" t="str">
        <f t="shared" si="0"/>
        <v>-</v>
      </c>
      <c r="AC13" s="63" t="s">
        <v>267</v>
      </c>
    </row>
    <row r="14" spans="1:29" ht="13.9" customHeight="1" x14ac:dyDescent="0.25">
      <c r="A14" s="402"/>
      <c r="B14" s="388"/>
      <c r="C14" s="390">
        <f>SUM(C12:C13)</f>
        <v>36.65</v>
      </c>
      <c r="D14" s="64"/>
      <c r="E14" s="65"/>
      <c r="F14" s="65"/>
      <c r="G14" s="64"/>
      <c r="H14" s="64"/>
      <c r="I14" s="64"/>
      <c r="J14" s="64"/>
      <c r="K14" s="66"/>
      <c r="L14" s="66"/>
      <c r="M14" s="67"/>
      <c r="N14" s="67"/>
      <c r="O14" s="68"/>
      <c r="P14" s="69"/>
      <c r="Q14" s="69"/>
      <c r="R14" s="69"/>
      <c r="S14" s="71"/>
      <c r="T14" s="72"/>
      <c r="U14" s="391">
        <f t="shared" ref="U14:Z14" si="1">SUM(U12:U13)</f>
        <v>82.46</v>
      </c>
      <c r="V14" s="391">
        <f t="shared" si="1"/>
        <v>9.4700000000000006</v>
      </c>
      <c r="W14" s="391">
        <f t="shared" si="1"/>
        <v>76.48</v>
      </c>
      <c r="X14" s="391">
        <f t="shared" si="1"/>
        <v>8.25</v>
      </c>
      <c r="Y14" s="391">
        <f t="shared" si="1"/>
        <v>15.45</v>
      </c>
      <c r="Z14" s="391">
        <f t="shared" si="1"/>
        <v>111.58</v>
      </c>
      <c r="AA14" s="58"/>
      <c r="AB14" s="58"/>
      <c r="AC14" s="63"/>
    </row>
    <row r="15" spans="1:29" ht="24" customHeight="1" x14ac:dyDescent="0.25">
      <c r="A15" s="1001" t="s">
        <v>452</v>
      </c>
      <c r="B15" s="388" t="s">
        <v>527</v>
      </c>
      <c r="C15" s="389">
        <f>4.92+5.43</f>
        <v>10.35</v>
      </c>
      <c r="D15" s="64">
        <v>6.6000000000000003E-2</v>
      </c>
      <c r="E15" s="65">
        <v>0.4</v>
      </c>
      <c r="F15" s="65" t="s">
        <v>526</v>
      </c>
      <c r="G15" s="64">
        <v>0.23899999999999999</v>
      </c>
      <c r="H15" s="64">
        <v>2.2799999999999998</v>
      </c>
      <c r="I15" s="64">
        <v>0.48299999999999998</v>
      </c>
      <c r="J15" s="64">
        <v>3.04</v>
      </c>
      <c r="K15" s="65" t="s">
        <v>526</v>
      </c>
      <c r="L15" s="65" t="s">
        <v>526</v>
      </c>
      <c r="M15" s="65" t="s">
        <v>526</v>
      </c>
      <c r="N15" s="65" t="s">
        <v>526</v>
      </c>
      <c r="O15" s="68">
        <v>1.5</v>
      </c>
      <c r="P15" s="69">
        <v>1.5</v>
      </c>
      <c r="Q15" s="69">
        <f>(O15+P15)/2</f>
        <v>1.5</v>
      </c>
      <c r="R15" s="69">
        <v>0.01</v>
      </c>
      <c r="S15" s="71">
        <v>1.5</v>
      </c>
      <c r="T15" s="72" t="s">
        <v>265</v>
      </c>
      <c r="U15" s="59">
        <f>IF(P15&lt;1.5,C15*S15*(P15+0.15),C15*S15*(1.5))</f>
        <v>23.29</v>
      </c>
      <c r="V15" s="59">
        <f>IF(Q15&lt;1.5,0,C15*S15*((Q15-1.5)+0.15))</f>
        <v>2.33</v>
      </c>
      <c r="W15" s="58">
        <f>IF(SUM(U15:V15)-C15*PI()*((E15+0.1)^2)/4-X15&lt;0,0,SUM(U15:V15)-C15*PI()*((E15+0.1)^2)/4-X15)</f>
        <v>21.26</v>
      </c>
      <c r="X15" s="58">
        <f>IF(E15&lt; 0.61,0.15*C15*S15,0.15*C15*S15)</f>
        <v>2.33</v>
      </c>
      <c r="Y15" s="59">
        <f>U15+V15-W15</f>
        <v>4.3600000000000003</v>
      </c>
      <c r="Z15" s="58">
        <f>IF(Q15&lt;1.25,0,Q15*C15*2)</f>
        <v>31.05</v>
      </c>
      <c r="AA15" s="58" t="s">
        <v>526</v>
      </c>
      <c r="AB15" s="58" t="str">
        <f t="shared" ref="AB15:AB16" si="2">IF(O15&lt;2,"-",IF(O15&lt;=3,"CPV 01",IF(O15&lt;=3.5,"CPV 02",IF(O15&lt;=4,"CPV 03",IF(O15&lt;=4.5,"CPV 04",IF(O15&lt;=5,"CPV 05",IF(O15&lt;=5.5,"CPV 06")))))))</f>
        <v>-</v>
      </c>
      <c r="AC15" s="63" t="s">
        <v>267</v>
      </c>
    </row>
    <row r="16" spans="1:29" ht="33" x14ac:dyDescent="0.25">
      <c r="A16" s="1001"/>
      <c r="B16" s="388" t="s">
        <v>600</v>
      </c>
      <c r="C16" s="389">
        <f>3.32+3.05</f>
        <v>6.37</v>
      </c>
      <c r="D16" s="64">
        <v>6.6000000000000003E-2</v>
      </c>
      <c r="E16" s="65">
        <v>0.4</v>
      </c>
      <c r="F16" s="65" t="s">
        <v>526</v>
      </c>
      <c r="G16" s="64">
        <v>0.23899999999999999</v>
      </c>
      <c r="H16" s="64">
        <v>2.2799999999999998</v>
      </c>
      <c r="I16" s="64">
        <v>0.48299999999999998</v>
      </c>
      <c r="J16" s="64">
        <v>3.04</v>
      </c>
      <c r="K16" s="65" t="s">
        <v>526</v>
      </c>
      <c r="L16" s="65" t="s">
        <v>526</v>
      </c>
      <c r="M16" s="65" t="s">
        <v>526</v>
      </c>
      <c r="N16" s="65" t="s">
        <v>526</v>
      </c>
      <c r="O16" s="68">
        <v>1.6</v>
      </c>
      <c r="P16" s="69">
        <v>1.6</v>
      </c>
      <c r="Q16" s="69">
        <f>(O16+P16)/2</f>
        <v>1.6</v>
      </c>
      <c r="R16" s="69">
        <v>0.01</v>
      </c>
      <c r="S16" s="71">
        <v>1.5</v>
      </c>
      <c r="T16" s="72" t="s">
        <v>265</v>
      </c>
      <c r="U16" s="59">
        <f>IF(P16&lt;1.5,C16*S16*(P16+0.15),C16*S16*(1.5))</f>
        <v>14.33</v>
      </c>
      <c r="V16" s="59">
        <f>IF(Q16&lt;1.5,0,C16*S16*((Q16-1.5)+0.15))</f>
        <v>2.39</v>
      </c>
      <c r="W16" s="58">
        <f>IF(SUM(U16:V16)-C16*PI()*((E16+0.1)^2)/4-X16&lt;0,0,SUM(U16:V16)-C16*PI()*((E16+0.1)^2)/4-X16)</f>
        <v>14.04</v>
      </c>
      <c r="X16" s="58">
        <f>IF(E16&lt; 0.61,0.15*C16*S16,0.15*C16*S16)</f>
        <v>1.43</v>
      </c>
      <c r="Y16" s="59">
        <f>U16+V16-W16</f>
        <v>2.68</v>
      </c>
      <c r="Z16" s="58">
        <f>IF(Q16&lt;1.25,0,Q16*C16*2)</f>
        <v>20.38</v>
      </c>
      <c r="AA16" s="58" t="s">
        <v>526</v>
      </c>
      <c r="AB16" s="58" t="str">
        <f t="shared" si="2"/>
        <v>-</v>
      </c>
      <c r="AC16" s="63" t="s">
        <v>267</v>
      </c>
    </row>
    <row r="17" spans="1:29" ht="16.5" x14ac:dyDescent="0.25">
      <c r="A17" s="399"/>
      <c r="B17" s="73"/>
      <c r="C17" s="390">
        <f>SUM(C15:C16)</f>
        <v>16.72</v>
      </c>
      <c r="D17" s="64"/>
      <c r="E17" s="65"/>
      <c r="F17" s="65"/>
      <c r="G17" s="64"/>
      <c r="H17" s="64"/>
      <c r="I17" s="64"/>
      <c r="J17" s="64"/>
      <c r="K17" s="66"/>
      <c r="L17" s="66"/>
      <c r="M17" s="67"/>
      <c r="N17" s="67"/>
      <c r="O17" s="68"/>
      <c r="P17" s="69"/>
      <c r="Q17" s="69"/>
      <c r="R17" s="69"/>
      <c r="S17" s="71"/>
      <c r="T17" s="72"/>
      <c r="U17" s="391">
        <f t="shared" ref="U17:Z17" si="3">SUM(U15:U16)</f>
        <v>37.619999999999997</v>
      </c>
      <c r="V17" s="391">
        <f t="shared" si="3"/>
        <v>4.72</v>
      </c>
      <c r="W17" s="391">
        <f t="shared" si="3"/>
        <v>35.299999999999997</v>
      </c>
      <c r="X17" s="391">
        <f t="shared" si="3"/>
        <v>3.76</v>
      </c>
      <c r="Y17" s="391">
        <f t="shared" si="3"/>
        <v>7.04</v>
      </c>
      <c r="Z17" s="391">
        <f t="shared" si="3"/>
        <v>51.43</v>
      </c>
      <c r="AA17" s="58"/>
      <c r="AB17" s="58"/>
      <c r="AC17" s="63"/>
    </row>
    <row r="18" spans="1:29" ht="33" x14ac:dyDescent="0.25">
      <c r="A18" s="1001" t="s">
        <v>455</v>
      </c>
      <c r="B18" s="388" t="s">
        <v>528</v>
      </c>
      <c r="C18" s="389">
        <f>3.32+3.37</f>
        <v>6.69</v>
      </c>
      <c r="D18" s="64">
        <v>6.6000000000000003E-2</v>
      </c>
      <c r="E18" s="65">
        <v>0.4</v>
      </c>
      <c r="F18" s="65" t="s">
        <v>526</v>
      </c>
      <c r="G18" s="64">
        <v>0.23899999999999999</v>
      </c>
      <c r="H18" s="64">
        <v>2.2799999999999998</v>
      </c>
      <c r="I18" s="64">
        <v>0.48299999999999998</v>
      </c>
      <c r="J18" s="64">
        <v>3.04</v>
      </c>
      <c r="K18" s="65" t="s">
        <v>526</v>
      </c>
      <c r="L18" s="65" t="s">
        <v>526</v>
      </c>
      <c r="M18" s="65" t="s">
        <v>526</v>
      </c>
      <c r="N18" s="65" t="s">
        <v>526</v>
      </c>
      <c r="O18" s="68">
        <v>1.5</v>
      </c>
      <c r="P18" s="69">
        <v>1.5</v>
      </c>
      <c r="Q18" s="69">
        <f>(O18+P18)/2</f>
        <v>1.5</v>
      </c>
      <c r="R18" s="69">
        <v>0.01</v>
      </c>
      <c r="S18" s="71">
        <v>1.5</v>
      </c>
      <c r="T18" s="72" t="s">
        <v>265</v>
      </c>
      <c r="U18" s="59">
        <f>IF(P18&lt;1.5,C18*S18*(P18+0.15),C18*S18*(1.5))</f>
        <v>15.05</v>
      </c>
      <c r="V18" s="59">
        <f>IF(Q18&lt;1.5,0,C18*S18*((Q18-1.5)+0.15))</f>
        <v>1.51</v>
      </c>
      <c r="W18" s="58">
        <f>IF(SUM(U18:V18)-C18*PI()*((E18+0.1)^2)/4-X18&lt;0,0,SUM(U18:V18)-C18*PI()*((E18+0.1)^2)/4-X18)</f>
        <v>13.74</v>
      </c>
      <c r="X18" s="58">
        <f>IF(E18&lt; 0.61,0.15*C18*S18,0.15*C18*S18)</f>
        <v>1.51</v>
      </c>
      <c r="Y18" s="59">
        <f>U18+V18-W18</f>
        <v>2.82</v>
      </c>
      <c r="Z18" s="58">
        <f>IF(Q18&lt;1.25,0,Q18*C18*2)</f>
        <v>20.07</v>
      </c>
      <c r="AA18" s="58" t="s">
        <v>526</v>
      </c>
      <c r="AB18" s="58" t="str">
        <f t="shared" ref="AB18:AB19" si="4">IF(O18&lt;2,"-",IF(O18&lt;=3,"CPV 01",IF(O18&lt;=3.5,"CPV 02",IF(O18&lt;=4,"CPV 03",IF(O18&lt;=4.5,"CPV 04",IF(O18&lt;=5,"CPV 05",IF(O18&lt;=5.5,"CPV 06")))))))</f>
        <v>-</v>
      </c>
      <c r="AC18" s="63" t="s">
        <v>267</v>
      </c>
    </row>
    <row r="19" spans="1:29" ht="33" x14ac:dyDescent="0.25">
      <c r="A19" s="1001"/>
      <c r="B19" s="388" t="s">
        <v>529</v>
      </c>
      <c r="C19" s="389">
        <f>3.45+3.63</f>
        <v>7.08</v>
      </c>
      <c r="D19" s="64">
        <v>6.6000000000000003E-2</v>
      </c>
      <c r="E19" s="65">
        <v>0.4</v>
      </c>
      <c r="F19" s="65" t="s">
        <v>526</v>
      </c>
      <c r="G19" s="64">
        <v>0.23899999999999999</v>
      </c>
      <c r="H19" s="64">
        <v>2.2799999999999998</v>
      </c>
      <c r="I19" s="64">
        <v>0.48299999999999998</v>
      </c>
      <c r="J19" s="64">
        <v>3.04</v>
      </c>
      <c r="K19" s="65" t="s">
        <v>526</v>
      </c>
      <c r="L19" s="65" t="s">
        <v>526</v>
      </c>
      <c r="M19" s="65" t="s">
        <v>526</v>
      </c>
      <c r="N19" s="65" t="s">
        <v>526</v>
      </c>
      <c r="O19" s="68">
        <v>1.6</v>
      </c>
      <c r="P19" s="69">
        <v>1.6</v>
      </c>
      <c r="Q19" s="69">
        <f>(O19+P19)/2</f>
        <v>1.6</v>
      </c>
      <c r="R19" s="69">
        <v>0.01</v>
      </c>
      <c r="S19" s="71">
        <v>1.5</v>
      </c>
      <c r="T19" s="72" t="s">
        <v>265</v>
      </c>
      <c r="U19" s="59">
        <f>IF(P19&lt;1.5,C19*S19*(P19+0.15),C19*S19*(1.5))</f>
        <v>15.93</v>
      </c>
      <c r="V19" s="59">
        <f>IF(Q19&lt;1.5,0,C19*S19*((Q19-1.5)+0.15))</f>
        <v>2.66</v>
      </c>
      <c r="W19" s="58">
        <f>IF(SUM(U19:V19)-C19*PI()*((E19+0.1)^2)/4-X19&lt;0,0,SUM(U19:V19)-C19*PI()*((E19+0.1)^2)/4-X19)</f>
        <v>15.61</v>
      </c>
      <c r="X19" s="58">
        <f>IF(E19&lt; 0.61,0.15*C19*S19,0.15*C19*S19)</f>
        <v>1.59</v>
      </c>
      <c r="Y19" s="59">
        <f>U19+V19-W19</f>
        <v>2.98</v>
      </c>
      <c r="Z19" s="58">
        <f>IF(Q19&lt;1.25,0,Q19*C19*2)</f>
        <v>22.66</v>
      </c>
      <c r="AA19" s="58" t="s">
        <v>526</v>
      </c>
      <c r="AB19" s="58" t="str">
        <f t="shared" si="4"/>
        <v>-</v>
      </c>
      <c r="AC19" s="63" t="s">
        <v>267</v>
      </c>
    </row>
    <row r="20" spans="1:29" ht="16.5" x14ac:dyDescent="0.25">
      <c r="A20" s="399"/>
      <c r="B20" s="73"/>
      <c r="C20" s="390">
        <f>SUM(C18:C19)</f>
        <v>13.77</v>
      </c>
      <c r="D20" s="64"/>
      <c r="E20" s="65"/>
      <c r="F20" s="65"/>
      <c r="G20" s="64"/>
      <c r="H20" s="64"/>
      <c r="I20" s="64"/>
      <c r="J20" s="64"/>
      <c r="K20" s="66"/>
      <c r="L20" s="66"/>
      <c r="M20" s="67"/>
      <c r="N20" s="67"/>
      <c r="O20" s="68"/>
      <c r="P20" s="69"/>
      <c r="Q20" s="69"/>
      <c r="R20" s="69"/>
      <c r="S20" s="71"/>
      <c r="T20" s="72"/>
      <c r="U20" s="391">
        <f t="shared" ref="U20:Z20" si="5">SUM(U18:U19)</f>
        <v>30.98</v>
      </c>
      <c r="V20" s="391">
        <f t="shared" si="5"/>
        <v>4.17</v>
      </c>
      <c r="W20" s="391">
        <f t="shared" si="5"/>
        <v>29.35</v>
      </c>
      <c r="X20" s="391">
        <f t="shared" si="5"/>
        <v>3.1</v>
      </c>
      <c r="Y20" s="391">
        <f t="shared" si="5"/>
        <v>5.8</v>
      </c>
      <c r="Z20" s="391">
        <f t="shared" si="5"/>
        <v>42.73</v>
      </c>
      <c r="AA20" s="58"/>
      <c r="AB20" s="58"/>
      <c r="AC20" s="63"/>
    </row>
    <row r="21" spans="1:29" ht="33" x14ac:dyDescent="0.25">
      <c r="A21" s="995" t="s">
        <v>446</v>
      </c>
      <c r="B21" s="400" t="s">
        <v>530</v>
      </c>
      <c r="C21" s="401">
        <f>5.02*2</f>
        <v>10.039999999999999</v>
      </c>
      <c r="D21" s="64"/>
      <c r="E21" s="65">
        <v>0.4</v>
      </c>
      <c r="F21" s="65" t="s">
        <v>526</v>
      </c>
      <c r="G21" s="64">
        <v>0.23899999999999999</v>
      </c>
      <c r="H21" s="64">
        <v>2.2799999999999998</v>
      </c>
      <c r="I21" s="64">
        <v>0.48299999999999998</v>
      </c>
      <c r="J21" s="64">
        <v>3.04</v>
      </c>
      <c r="K21" s="65" t="s">
        <v>526</v>
      </c>
      <c r="L21" s="65" t="s">
        <v>526</v>
      </c>
      <c r="M21" s="65" t="s">
        <v>526</v>
      </c>
      <c r="N21" s="65" t="s">
        <v>526</v>
      </c>
      <c r="O21" s="68">
        <v>2</v>
      </c>
      <c r="P21" s="68">
        <v>2</v>
      </c>
      <c r="Q21" s="69">
        <f t="shared" ref="Q21:Q30" si="6">(O21+P21)/2</f>
        <v>2</v>
      </c>
      <c r="R21" s="69">
        <v>0.01</v>
      </c>
      <c r="S21" s="71">
        <v>1.5</v>
      </c>
      <c r="T21" s="72" t="s">
        <v>265</v>
      </c>
      <c r="U21" s="59">
        <f t="shared" ref="U21:U30" si="7">IF(P21&lt;1.5,C21*S21*(P21+0.15),C21*S21*(1.5))</f>
        <v>22.59</v>
      </c>
      <c r="V21" s="59">
        <f t="shared" ref="V21:V30" si="8">IF(Q21&lt;1.5,0,C21*S21*((Q21-1.5)+0.15))</f>
        <v>9.7899999999999991</v>
      </c>
      <c r="W21" s="58">
        <f t="shared" ref="W21:W30" si="9">IF(SUM(U21:V21)-C21*PI()*((E21+0.1)^2)/4-X21&lt;0,0,SUM(U21:V21)-C21*PI()*((E21+0.1)^2)/4-X21)</f>
        <v>28.15</v>
      </c>
      <c r="X21" s="58">
        <f t="shared" ref="X21:X30" si="10">IF(E21&lt; 0.61,0.15*C21*S21,0.15*C21*S21)</f>
        <v>2.2599999999999998</v>
      </c>
      <c r="Y21" s="59">
        <f t="shared" ref="Y21:Y30" si="11">U21+V21-W21</f>
        <v>4.2300000000000004</v>
      </c>
      <c r="Z21" s="58">
        <f t="shared" ref="Z21:Z30" si="12">IF(Q21&lt;1.25,0,Q21*C21*2)</f>
        <v>40.159999999999997</v>
      </c>
      <c r="AA21" s="58" t="s">
        <v>526</v>
      </c>
      <c r="AB21" s="58" t="s">
        <v>526</v>
      </c>
      <c r="AC21" s="63" t="s">
        <v>267</v>
      </c>
    </row>
    <row r="22" spans="1:29" ht="33" x14ac:dyDescent="0.25">
      <c r="A22" s="997"/>
      <c r="B22" s="400" t="s">
        <v>531</v>
      </c>
      <c r="C22" s="401">
        <f>5.06*2</f>
        <v>10.119999999999999</v>
      </c>
      <c r="D22" s="64"/>
      <c r="E22" s="65">
        <v>0.4</v>
      </c>
      <c r="F22" s="65" t="s">
        <v>526</v>
      </c>
      <c r="G22" s="64">
        <v>0.23899999999999999</v>
      </c>
      <c r="H22" s="64">
        <v>2.2799999999999998</v>
      </c>
      <c r="I22" s="64">
        <v>0.48299999999999998</v>
      </c>
      <c r="J22" s="64">
        <v>3.04</v>
      </c>
      <c r="K22" s="65" t="s">
        <v>526</v>
      </c>
      <c r="L22" s="65" t="s">
        <v>526</v>
      </c>
      <c r="M22" s="65" t="s">
        <v>526</v>
      </c>
      <c r="N22" s="65" t="s">
        <v>526</v>
      </c>
      <c r="O22" s="68">
        <v>2.42</v>
      </c>
      <c r="P22" s="68">
        <v>2.42</v>
      </c>
      <c r="Q22" s="69">
        <f t="shared" si="6"/>
        <v>2.42</v>
      </c>
      <c r="R22" s="69">
        <v>0.01</v>
      </c>
      <c r="S22" s="71">
        <v>1.5</v>
      </c>
      <c r="T22" s="72" t="s">
        <v>265</v>
      </c>
      <c r="U22" s="59">
        <f t="shared" si="7"/>
        <v>22.77</v>
      </c>
      <c r="V22" s="59">
        <f t="shared" si="8"/>
        <v>16.239999999999998</v>
      </c>
      <c r="W22" s="58">
        <f t="shared" si="9"/>
        <v>34.74</v>
      </c>
      <c r="X22" s="58">
        <f t="shared" si="10"/>
        <v>2.2799999999999998</v>
      </c>
      <c r="Y22" s="59">
        <f t="shared" si="11"/>
        <v>4.2699999999999996</v>
      </c>
      <c r="Z22" s="58">
        <f t="shared" si="12"/>
        <v>48.98</v>
      </c>
      <c r="AA22" s="58" t="s">
        <v>526</v>
      </c>
      <c r="AB22" s="58" t="s">
        <v>526</v>
      </c>
      <c r="AC22" s="63" t="s">
        <v>267</v>
      </c>
    </row>
    <row r="23" spans="1:29" ht="33" x14ac:dyDescent="0.25">
      <c r="A23" s="997"/>
      <c r="B23" s="400" t="s">
        <v>532</v>
      </c>
      <c r="C23" s="401">
        <f t="shared" ref="C23:C41" si="13">5.06*2</f>
        <v>10.119999999999999</v>
      </c>
      <c r="D23" s="64"/>
      <c r="E23" s="65">
        <v>0.4</v>
      </c>
      <c r="F23" s="65" t="s">
        <v>526</v>
      </c>
      <c r="G23" s="64">
        <v>0.23899999999999999</v>
      </c>
      <c r="H23" s="64">
        <v>2.2799999999999998</v>
      </c>
      <c r="I23" s="64">
        <v>0.48299999999999998</v>
      </c>
      <c r="J23" s="64">
        <v>3.04</v>
      </c>
      <c r="K23" s="65" t="s">
        <v>526</v>
      </c>
      <c r="L23" s="65" t="s">
        <v>526</v>
      </c>
      <c r="M23" s="65" t="s">
        <v>526</v>
      </c>
      <c r="N23" s="65" t="s">
        <v>526</v>
      </c>
      <c r="O23" s="68">
        <v>2.5</v>
      </c>
      <c r="P23" s="68">
        <v>2.5</v>
      </c>
      <c r="Q23" s="69">
        <f t="shared" si="6"/>
        <v>2.5</v>
      </c>
      <c r="R23" s="69">
        <v>0.01</v>
      </c>
      <c r="S23" s="71">
        <v>1.5</v>
      </c>
      <c r="T23" s="72" t="s">
        <v>265</v>
      </c>
      <c r="U23" s="59">
        <f t="shared" si="7"/>
        <v>22.77</v>
      </c>
      <c r="V23" s="59">
        <f t="shared" si="8"/>
        <v>17.46</v>
      </c>
      <c r="W23" s="58">
        <f t="shared" si="9"/>
        <v>35.96</v>
      </c>
      <c r="X23" s="58">
        <f t="shared" si="10"/>
        <v>2.2799999999999998</v>
      </c>
      <c r="Y23" s="59">
        <f t="shared" si="11"/>
        <v>4.2699999999999996</v>
      </c>
      <c r="Z23" s="58">
        <f t="shared" si="12"/>
        <v>50.6</v>
      </c>
      <c r="AA23" s="58" t="s">
        <v>526</v>
      </c>
      <c r="AB23" s="58" t="s">
        <v>526</v>
      </c>
      <c r="AC23" s="63" t="s">
        <v>267</v>
      </c>
    </row>
    <row r="24" spans="1:29" ht="33" x14ac:dyDescent="0.25">
      <c r="A24" s="997"/>
      <c r="B24" s="400" t="s">
        <v>533</v>
      </c>
      <c r="C24" s="401">
        <f t="shared" si="13"/>
        <v>10.119999999999999</v>
      </c>
      <c r="D24" s="64"/>
      <c r="E24" s="65">
        <v>0.4</v>
      </c>
      <c r="F24" s="65" t="s">
        <v>526</v>
      </c>
      <c r="G24" s="64">
        <v>0.23899999999999999</v>
      </c>
      <c r="H24" s="64">
        <v>2.2799999999999998</v>
      </c>
      <c r="I24" s="64">
        <v>0.48299999999999998</v>
      </c>
      <c r="J24" s="64">
        <v>3.04</v>
      </c>
      <c r="K24" s="65" t="s">
        <v>526</v>
      </c>
      <c r="L24" s="65" t="s">
        <v>526</v>
      </c>
      <c r="M24" s="65" t="s">
        <v>526</v>
      </c>
      <c r="N24" s="65" t="s">
        <v>526</v>
      </c>
      <c r="O24" s="68">
        <v>2.16</v>
      </c>
      <c r="P24" s="68">
        <v>2.16</v>
      </c>
      <c r="Q24" s="69">
        <f t="shared" si="6"/>
        <v>2.16</v>
      </c>
      <c r="R24" s="69">
        <v>0.01</v>
      </c>
      <c r="S24" s="71">
        <v>1.5</v>
      </c>
      <c r="T24" s="72" t="s">
        <v>265</v>
      </c>
      <c r="U24" s="59">
        <f t="shared" si="7"/>
        <v>22.77</v>
      </c>
      <c r="V24" s="59">
        <f t="shared" si="8"/>
        <v>12.3</v>
      </c>
      <c r="W24" s="58">
        <f t="shared" si="9"/>
        <v>30.8</v>
      </c>
      <c r="X24" s="58">
        <f t="shared" si="10"/>
        <v>2.2799999999999998</v>
      </c>
      <c r="Y24" s="59">
        <f t="shared" si="11"/>
        <v>4.2699999999999996</v>
      </c>
      <c r="Z24" s="58">
        <f t="shared" si="12"/>
        <v>43.72</v>
      </c>
      <c r="AA24" s="58" t="s">
        <v>526</v>
      </c>
      <c r="AB24" s="58" t="s">
        <v>526</v>
      </c>
      <c r="AC24" s="63" t="s">
        <v>267</v>
      </c>
    </row>
    <row r="25" spans="1:29" ht="33" x14ac:dyDescent="0.25">
      <c r="A25" s="997"/>
      <c r="B25" s="400" t="s">
        <v>534</v>
      </c>
      <c r="C25" s="401">
        <f t="shared" si="13"/>
        <v>10.119999999999999</v>
      </c>
      <c r="D25" s="64"/>
      <c r="E25" s="65">
        <v>0.4</v>
      </c>
      <c r="F25" s="65" t="s">
        <v>526</v>
      </c>
      <c r="G25" s="64">
        <v>0.23899999999999999</v>
      </c>
      <c r="H25" s="64">
        <v>2.2799999999999998</v>
      </c>
      <c r="I25" s="64">
        <v>0.48299999999999998</v>
      </c>
      <c r="J25" s="64">
        <v>3.04</v>
      </c>
      <c r="K25" s="65" t="s">
        <v>526</v>
      </c>
      <c r="L25" s="65" t="s">
        <v>526</v>
      </c>
      <c r="M25" s="65" t="s">
        <v>526</v>
      </c>
      <c r="N25" s="65" t="s">
        <v>526</v>
      </c>
      <c r="O25" s="68">
        <v>2.17</v>
      </c>
      <c r="P25" s="68">
        <v>2.17</v>
      </c>
      <c r="Q25" s="69">
        <f t="shared" si="6"/>
        <v>2.17</v>
      </c>
      <c r="R25" s="69">
        <v>0.01</v>
      </c>
      <c r="S25" s="71">
        <v>1.5</v>
      </c>
      <c r="T25" s="72" t="s">
        <v>265</v>
      </c>
      <c r="U25" s="59">
        <f t="shared" si="7"/>
        <v>22.77</v>
      </c>
      <c r="V25" s="59">
        <f t="shared" si="8"/>
        <v>12.45</v>
      </c>
      <c r="W25" s="58">
        <f t="shared" si="9"/>
        <v>30.95</v>
      </c>
      <c r="X25" s="58">
        <f t="shared" si="10"/>
        <v>2.2799999999999998</v>
      </c>
      <c r="Y25" s="59">
        <f t="shared" si="11"/>
        <v>4.2699999999999996</v>
      </c>
      <c r="Z25" s="58">
        <f t="shared" si="12"/>
        <v>43.92</v>
      </c>
      <c r="AA25" s="58" t="s">
        <v>526</v>
      </c>
      <c r="AB25" s="58" t="s">
        <v>526</v>
      </c>
      <c r="AC25" s="63" t="s">
        <v>267</v>
      </c>
    </row>
    <row r="26" spans="1:29" ht="33" x14ac:dyDescent="0.25">
      <c r="A26" s="997"/>
      <c r="B26" s="400" t="s">
        <v>535</v>
      </c>
      <c r="C26" s="401">
        <f t="shared" si="13"/>
        <v>10.119999999999999</v>
      </c>
      <c r="D26" s="64"/>
      <c r="E26" s="65">
        <v>0.4</v>
      </c>
      <c r="F26" s="65" t="s">
        <v>526</v>
      </c>
      <c r="G26" s="64">
        <v>0.23899999999999999</v>
      </c>
      <c r="H26" s="64">
        <v>2.2799999999999998</v>
      </c>
      <c r="I26" s="64">
        <v>0.48299999999999998</v>
      </c>
      <c r="J26" s="64">
        <v>3.04</v>
      </c>
      <c r="K26" s="65" t="s">
        <v>526</v>
      </c>
      <c r="L26" s="65" t="s">
        <v>526</v>
      </c>
      <c r="M26" s="65" t="s">
        <v>526</v>
      </c>
      <c r="N26" s="65" t="s">
        <v>526</v>
      </c>
      <c r="O26" s="68">
        <v>2.54</v>
      </c>
      <c r="P26" s="68">
        <v>2.54</v>
      </c>
      <c r="Q26" s="69">
        <f t="shared" si="6"/>
        <v>2.54</v>
      </c>
      <c r="R26" s="69">
        <v>0.01</v>
      </c>
      <c r="S26" s="71">
        <v>1.5</v>
      </c>
      <c r="T26" s="72" t="s">
        <v>265</v>
      </c>
      <c r="U26" s="59">
        <f t="shared" si="7"/>
        <v>22.77</v>
      </c>
      <c r="V26" s="59">
        <f t="shared" si="8"/>
        <v>18.059999999999999</v>
      </c>
      <c r="W26" s="58">
        <f t="shared" si="9"/>
        <v>36.56</v>
      </c>
      <c r="X26" s="58">
        <f t="shared" si="10"/>
        <v>2.2799999999999998</v>
      </c>
      <c r="Y26" s="59">
        <f t="shared" si="11"/>
        <v>4.2699999999999996</v>
      </c>
      <c r="Z26" s="58">
        <f t="shared" si="12"/>
        <v>51.41</v>
      </c>
      <c r="AA26" s="58" t="s">
        <v>526</v>
      </c>
      <c r="AB26" s="58" t="s">
        <v>526</v>
      </c>
      <c r="AC26" s="63" t="s">
        <v>267</v>
      </c>
    </row>
    <row r="27" spans="1:29" ht="33" x14ac:dyDescent="0.25">
      <c r="A27" s="997"/>
      <c r="B27" s="400" t="s">
        <v>536</v>
      </c>
      <c r="C27" s="401">
        <f t="shared" si="13"/>
        <v>10.119999999999999</v>
      </c>
      <c r="D27" s="64"/>
      <c r="E27" s="65">
        <v>0.4</v>
      </c>
      <c r="F27" s="65" t="s">
        <v>526</v>
      </c>
      <c r="G27" s="64">
        <v>0.23899999999999999</v>
      </c>
      <c r="H27" s="64">
        <v>2.2799999999999998</v>
      </c>
      <c r="I27" s="64">
        <v>0.48299999999999998</v>
      </c>
      <c r="J27" s="64">
        <v>3.04</v>
      </c>
      <c r="K27" s="65" t="s">
        <v>526</v>
      </c>
      <c r="L27" s="65" t="s">
        <v>526</v>
      </c>
      <c r="M27" s="65" t="s">
        <v>526</v>
      </c>
      <c r="N27" s="65" t="s">
        <v>526</v>
      </c>
      <c r="O27" s="68">
        <v>2</v>
      </c>
      <c r="P27" s="68">
        <v>2</v>
      </c>
      <c r="Q27" s="69">
        <f t="shared" si="6"/>
        <v>2</v>
      </c>
      <c r="R27" s="69">
        <v>0.01</v>
      </c>
      <c r="S27" s="71">
        <v>1.5</v>
      </c>
      <c r="T27" s="72" t="s">
        <v>265</v>
      </c>
      <c r="U27" s="59">
        <f t="shared" si="7"/>
        <v>22.77</v>
      </c>
      <c r="V27" s="59">
        <f t="shared" si="8"/>
        <v>9.8699999999999992</v>
      </c>
      <c r="W27" s="58">
        <f t="shared" si="9"/>
        <v>28.37</v>
      </c>
      <c r="X27" s="58">
        <f t="shared" si="10"/>
        <v>2.2799999999999998</v>
      </c>
      <c r="Y27" s="59">
        <f t="shared" si="11"/>
        <v>4.2699999999999996</v>
      </c>
      <c r="Z27" s="58">
        <f t="shared" si="12"/>
        <v>40.479999999999997</v>
      </c>
      <c r="AA27" s="58" t="s">
        <v>526</v>
      </c>
      <c r="AB27" s="58" t="s">
        <v>526</v>
      </c>
      <c r="AC27" s="63" t="s">
        <v>267</v>
      </c>
    </row>
    <row r="28" spans="1:29" ht="33" x14ac:dyDescent="0.25">
      <c r="A28" s="997"/>
      <c r="B28" s="400" t="s">
        <v>537</v>
      </c>
      <c r="C28" s="401">
        <f t="shared" si="13"/>
        <v>10.119999999999999</v>
      </c>
      <c r="D28" s="64"/>
      <c r="E28" s="65">
        <v>0.4</v>
      </c>
      <c r="F28" s="65" t="s">
        <v>526</v>
      </c>
      <c r="G28" s="64">
        <v>0.23899999999999999</v>
      </c>
      <c r="H28" s="64">
        <v>2.2799999999999998</v>
      </c>
      <c r="I28" s="64">
        <v>0.48299999999999998</v>
      </c>
      <c r="J28" s="64">
        <v>3.04</v>
      </c>
      <c r="K28" s="65" t="s">
        <v>526</v>
      </c>
      <c r="L28" s="65" t="s">
        <v>526</v>
      </c>
      <c r="M28" s="65" t="s">
        <v>526</v>
      </c>
      <c r="N28" s="65" t="s">
        <v>526</v>
      </c>
      <c r="O28" s="68">
        <v>2.4900000000000002</v>
      </c>
      <c r="P28" s="68">
        <v>2.4900000000000002</v>
      </c>
      <c r="Q28" s="69">
        <f t="shared" si="6"/>
        <v>2.4900000000000002</v>
      </c>
      <c r="R28" s="69">
        <v>0.01</v>
      </c>
      <c r="S28" s="71">
        <v>1.5</v>
      </c>
      <c r="T28" s="72" t="s">
        <v>265</v>
      </c>
      <c r="U28" s="59">
        <f t="shared" si="7"/>
        <v>22.77</v>
      </c>
      <c r="V28" s="59">
        <f t="shared" si="8"/>
        <v>17.309999999999999</v>
      </c>
      <c r="W28" s="58">
        <f t="shared" si="9"/>
        <v>35.81</v>
      </c>
      <c r="X28" s="58">
        <f t="shared" si="10"/>
        <v>2.2799999999999998</v>
      </c>
      <c r="Y28" s="59">
        <f t="shared" si="11"/>
        <v>4.2699999999999996</v>
      </c>
      <c r="Z28" s="58">
        <f t="shared" si="12"/>
        <v>50.4</v>
      </c>
      <c r="AA28" s="58" t="s">
        <v>526</v>
      </c>
      <c r="AB28" s="58" t="s">
        <v>526</v>
      </c>
      <c r="AC28" s="63" t="s">
        <v>267</v>
      </c>
    </row>
    <row r="29" spans="1:29" ht="33" x14ac:dyDescent="0.25">
      <c r="A29" s="997"/>
      <c r="B29" s="400" t="s">
        <v>538</v>
      </c>
      <c r="C29" s="401">
        <f t="shared" si="13"/>
        <v>10.119999999999999</v>
      </c>
      <c r="D29" s="64"/>
      <c r="E29" s="65">
        <v>0.4</v>
      </c>
      <c r="F29" s="65" t="s">
        <v>526</v>
      </c>
      <c r="G29" s="64">
        <v>0.23899999999999999</v>
      </c>
      <c r="H29" s="64">
        <v>2.2799999999999998</v>
      </c>
      <c r="I29" s="64">
        <v>0.48299999999999998</v>
      </c>
      <c r="J29" s="64">
        <v>3.04</v>
      </c>
      <c r="K29" s="65" t="s">
        <v>526</v>
      </c>
      <c r="L29" s="65" t="s">
        <v>526</v>
      </c>
      <c r="M29" s="65" t="s">
        <v>526</v>
      </c>
      <c r="N29" s="65" t="s">
        <v>526</v>
      </c>
      <c r="O29" s="68">
        <v>2.02</v>
      </c>
      <c r="P29" s="68">
        <v>2.02</v>
      </c>
      <c r="Q29" s="69">
        <f t="shared" si="6"/>
        <v>2.02</v>
      </c>
      <c r="R29" s="69">
        <v>0.01</v>
      </c>
      <c r="S29" s="71">
        <v>1.5</v>
      </c>
      <c r="T29" s="72" t="s">
        <v>265</v>
      </c>
      <c r="U29" s="59">
        <f t="shared" si="7"/>
        <v>22.77</v>
      </c>
      <c r="V29" s="59">
        <f t="shared" si="8"/>
        <v>10.17</v>
      </c>
      <c r="W29" s="58">
        <f t="shared" si="9"/>
        <v>28.67</v>
      </c>
      <c r="X29" s="58">
        <f t="shared" si="10"/>
        <v>2.2799999999999998</v>
      </c>
      <c r="Y29" s="59">
        <f t="shared" si="11"/>
        <v>4.2699999999999996</v>
      </c>
      <c r="Z29" s="58">
        <f t="shared" si="12"/>
        <v>40.880000000000003</v>
      </c>
      <c r="AA29" s="58" t="s">
        <v>526</v>
      </c>
      <c r="AB29" s="58" t="s">
        <v>526</v>
      </c>
      <c r="AC29" s="63" t="s">
        <v>267</v>
      </c>
    </row>
    <row r="30" spans="1:29" ht="33" x14ac:dyDescent="0.25">
      <c r="A30" s="997"/>
      <c r="B30" s="400" t="s">
        <v>539</v>
      </c>
      <c r="C30" s="401">
        <f t="shared" si="13"/>
        <v>10.119999999999999</v>
      </c>
      <c r="D30" s="64"/>
      <c r="E30" s="65">
        <v>0.4</v>
      </c>
      <c r="F30" s="65" t="s">
        <v>526</v>
      </c>
      <c r="G30" s="64">
        <v>0.23899999999999999</v>
      </c>
      <c r="H30" s="64">
        <v>2.2799999999999998</v>
      </c>
      <c r="I30" s="64">
        <v>0.48299999999999998</v>
      </c>
      <c r="J30" s="64">
        <v>3.04</v>
      </c>
      <c r="K30" s="65" t="s">
        <v>526</v>
      </c>
      <c r="L30" s="65" t="s">
        <v>526</v>
      </c>
      <c r="M30" s="65" t="s">
        <v>526</v>
      </c>
      <c r="N30" s="65" t="s">
        <v>526</v>
      </c>
      <c r="O30" s="68">
        <v>1.98</v>
      </c>
      <c r="P30" s="68">
        <v>1.98</v>
      </c>
      <c r="Q30" s="69">
        <f t="shared" si="6"/>
        <v>1.98</v>
      </c>
      <c r="R30" s="69">
        <v>0.01</v>
      </c>
      <c r="S30" s="71">
        <v>1.5</v>
      </c>
      <c r="T30" s="72" t="s">
        <v>265</v>
      </c>
      <c r="U30" s="59">
        <f t="shared" si="7"/>
        <v>22.77</v>
      </c>
      <c r="V30" s="59">
        <f t="shared" si="8"/>
        <v>9.56</v>
      </c>
      <c r="W30" s="58">
        <f t="shared" si="9"/>
        <v>28.06</v>
      </c>
      <c r="X30" s="58">
        <f t="shared" si="10"/>
        <v>2.2799999999999998</v>
      </c>
      <c r="Y30" s="59">
        <f t="shared" si="11"/>
        <v>4.2699999999999996</v>
      </c>
      <c r="Z30" s="58">
        <f t="shared" si="12"/>
        <v>40.08</v>
      </c>
      <c r="AA30" s="58" t="s">
        <v>526</v>
      </c>
      <c r="AB30" s="58" t="s">
        <v>526</v>
      </c>
      <c r="AC30" s="63" t="s">
        <v>267</v>
      </c>
    </row>
    <row r="31" spans="1:29" ht="33" x14ac:dyDescent="0.25">
      <c r="A31" s="997"/>
      <c r="B31" s="400" t="s">
        <v>540</v>
      </c>
      <c r="C31" s="401">
        <f t="shared" si="13"/>
        <v>10.119999999999999</v>
      </c>
      <c r="D31" s="64"/>
      <c r="E31" s="65">
        <v>0.4</v>
      </c>
      <c r="F31" s="65" t="s">
        <v>526</v>
      </c>
      <c r="G31" s="64">
        <v>0.23899999999999999</v>
      </c>
      <c r="H31" s="64">
        <v>2.2799999999999998</v>
      </c>
      <c r="I31" s="64">
        <v>0.48299999999999998</v>
      </c>
      <c r="J31" s="64">
        <v>3.04</v>
      </c>
      <c r="K31" s="65" t="s">
        <v>526</v>
      </c>
      <c r="L31" s="65" t="s">
        <v>526</v>
      </c>
      <c r="M31" s="65" t="s">
        <v>526</v>
      </c>
      <c r="N31" s="65" t="s">
        <v>526</v>
      </c>
      <c r="O31" s="68">
        <v>2.15</v>
      </c>
      <c r="P31" s="68">
        <v>2.15</v>
      </c>
      <c r="Q31" s="69">
        <f t="shared" ref="Q31:Q36" si="14">(O31+P31)/2</f>
        <v>2.15</v>
      </c>
      <c r="R31" s="69">
        <v>0.01</v>
      </c>
      <c r="S31" s="71">
        <v>1.5</v>
      </c>
      <c r="T31" s="72" t="s">
        <v>265</v>
      </c>
      <c r="U31" s="59">
        <f t="shared" ref="U31:U36" si="15">IF(P31&lt;1.5,C31*S31*(P31+0.15),C31*S31*(1.5))</f>
        <v>22.77</v>
      </c>
      <c r="V31" s="59">
        <f t="shared" ref="V31:V36" si="16">IF(Q31&lt;1.5,0,C31*S31*((Q31-1.5)+0.15))</f>
        <v>12.14</v>
      </c>
      <c r="W31" s="58">
        <f t="shared" ref="W31:W36" si="17">IF(SUM(U31:V31)-C31*PI()*((E31+0.1)^2)/4-X31&lt;0,0,SUM(U31:V31)-C31*PI()*((E31+0.1)^2)/4-X31)</f>
        <v>30.64</v>
      </c>
      <c r="X31" s="58">
        <f t="shared" ref="X31:X36" si="18">IF(E31&lt; 0.61,0.15*C31*S31,0.15*C31*S31)</f>
        <v>2.2799999999999998</v>
      </c>
      <c r="Y31" s="59">
        <f t="shared" ref="Y31:Y36" si="19">U31+V31-W31</f>
        <v>4.2699999999999996</v>
      </c>
      <c r="Z31" s="58">
        <f t="shared" ref="Z31:Z36" si="20">IF(Q31&lt;1.25,0,Q31*C31*2)</f>
        <v>43.52</v>
      </c>
      <c r="AA31" s="58" t="s">
        <v>526</v>
      </c>
      <c r="AB31" s="58" t="s">
        <v>526</v>
      </c>
      <c r="AC31" s="63" t="s">
        <v>267</v>
      </c>
    </row>
    <row r="32" spans="1:29" ht="33" x14ac:dyDescent="0.25">
      <c r="A32" s="997"/>
      <c r="B32" s="400" t="s">
        <v>541</v>
      </c>
      <c r="C32" s="401">
        <f t="shared" si="13"/>
        <v>10.119999999999999</v>
      </c>
      <c r="D32" s="64"/>
      <c r="E32" s="65">
        <v>0.4</v>
      </c>
      <c r="F32" s="65" t="s">
        <v>526</v>
      </c>
      <c r="G32" s="64">
        <v>0.23899999999999999</v>
      </c>
      <c r="H32" s="64">
        <v>2.2799999999999998</v>
      </c>
      <c r="I32" s="64">
        <v>0.48299999999999998</v>
      </c>
      <c r="J32" s="64">
        <v>3.04</v>
      </c>
      <c r="K32" s="65" t="s">
        <v>526</v>
      </c>
      <c r="L32" s="65" t="s">
        <v>526</v>
      </c>
      <c r="M32" s="65" t="s">
        <v>526</v>
      </c>
      <c r="N32" s="65" t="s">
        <v>526</v>
      </c>
      <c r="O32" s="68">
        <v>2.57</v>
      </c>
      <c r="P32" s="68">
        <v>2.57</v>
      </c>
      <c r="Q32" s="69">
        <f t="shared" si="14"/>
        <v>2.57</v>
      </c>
      <c r="R32" s="69">
        <v>0.01</v>
      </c>
      <c r="S32" s="71">
        <v>1.5</v>
      </c>
      <c r="T32" s="72" t="s">
        <v>265</v>
      </c>
      <c r="U32" s="59">
        <f t="shared" si="15"/>
        <v>22.77</v>
      </c>
      <c r="V32" s="59">
        <f t="shared" si="16"/>
        <v>18.52</v>
      </c>
      <c r="W32" s="58">
        <f t="shared" si="17"/>
        <v>37.020000000000003</v>
      </c>
      <c r="X32" s="58">
        <f t="shared" si="18"/>
        <v>2.2799999999999998</v>
      </c>
      <c r="Y32" s="59">
        <f t="shared" si="19"/>
        <v>4.2699999999999996</v>
      </c>
      <c r="Z32" s="58">
        <f t="shared" si="20"/>
        <v>52.02</v>
      </c>
      <c r="AA32" s="58" t="s">
        <v>526</v>
      </c>
      <c r="AB32" s="58" t="s">
        <v>526</v>
      </c>
      <c r="AC32" s="63" t="s">
        <v>267</v>
      </c>
    </row>
    <row r="33" spans="1:29" ht="33" x14ac:dyDescent="0.25">
      <c r="A33" s="997"/>
      <c r="B33" s="400" t="s">
        <v>542</v>
      </c>
      <c r="C33" s="401">
        <f t="shared" si="13"/>
        <v>10.119999999999999</v>
      </c>
      <c r="D33" s="64"/>
      <c r="E33" s="65">
        <v>0.4</v>
      </c>
      <c r="F33" s="65" t="s">
        <v>526</v>
      </c>
      <c r="G33" s="64">
        <v>0.23899999999999999</v>
      </c>
      <c r="H33" s="64">
        <v>2.2799999999999998</v>
      </c>
      <c r="I33" s="64">
        <v>0.48299999999999998</v>
      </c>
      <c r="J33" s="64">
        <v>3.04</v>
      </c>
      <c r="K33" s="65" t="s">
        <v>526</v>
      </c>
      <c r="L33" s="65" t="s">
        <v>526</v>
      </c>
      <c r="M33" s="65" t="s">
        <v>526</v>
      </c>
      <c r="N33" s="65" t="s">
        <v>526</v>
      </c>
      <c r="O33" s="68">
        <v>2.5299999999999998</v>
      </c>
      <c r="P33" s="68">
        <v>2.5299999999999998</v>
      </c>
      <c r="Q33" s="69">
        <f t="shared" si="14"/>
        <v>2.5299999999999998</v>
      </c>
      <c r="R33" s="69">
        <v>0.01</v>
      </c>
      <c r="S33" s="71">
        <v>1.5</v>
      </c>
      <c r="T33" s="72" t="s">
        <v>265</v>
      </c>
      <c r="U33" s="59">
        <f t="shared" si="15"/>
        <v>22.77</v>
      </c>
      <c r="V33" s="59">
        <f t="shared" si="16"/>
        <v>17.91</v>
      </c>
      <c r="W33" s="58">
        <f t="shared" si="17"/>
        <v>36.409999999999997</v>
      </c>
      <c r="X33" s="58">
        <f t="shared" si="18"/>
        <v>2.2799999999999998</v>
      </c>
      <c r="Y33" s="59">
        <f t="shared" si="19"/>
        <v>4.2699999999999996</v>
      </c>
      <c r="Z33" s="58">
        <f t="shared" si="20"/>
        <v>51.21</v>
      </c>
      <c r="AA33" s="58" t="s">
        <v>526</v>
      </c>
      <c r="AB33" s="58" t="s">
        <v>526</v>
      </c>
      <c r="AC33" s="63" t="s">
        <v>267</v>
      </c>
    </row>
    <row r="34" spans="1:29" ht="33" x14ac:dyDescent="0.25">
      <c r="A34" s="997"/>
      <c r="B34" s="400" t="s">
        <v>543</v>
      </c>
      <c r="C34" s="401">
        <f t="shared" si="13"/>
        <v>10.119999999999999</v>
      </c>
      <c r="D34" s="64"/>
      <c r="E34" s="65">
        <v>0.4</v>
      </c>
      <c r="F34" s="65" t="s">
        <v>526</v>
      </c>
      <c r="G34" s="64">
        <v>0.23899999999999999</v>
      </c>
      <c r="H34" s="64">
        <v>2.2799999999999998</v>
      </c>
      <c r="I34" s="64">
        <v>0.48299999999999998</v>
      </c>
      <c r="J34" s="64">
        <v>3.04</v>
      </c>
      <c r="K34" s="65" t="s">
        <v>526</v>
      </c>
      <c r="L34" s="65" t="s">
        <v>526</v>
      </c>
      <c r="M34" s="65" t="s">
        <v>526</v>
      </c>
      <c r="N34" s="65" t="s">
        <v>526</v>
      </c>
      <c r="O34" s="68">
        <v>2.57</v>
      </c>
      <c r="P34" s="68">
        <v>2.57</v>
      </c>
      <c r="Q34" s="69">
        <f t="shared" si="14"/>
        <v>2.57</v>
      </c>
      <c r="R34" s="69">
        <v>0.01</v>
      </c>
      <c r="S34" s="71">
        <v>1.5</v>
      </c>
      <c r="T34" s="72" t="s">
        <v>265</v>
      </c>
      <c r="U34" s="59">
        <f t="shared" si="15"/>
        <v>22.77</v>
      </c>
      <c r="V34" s="59">
        <f t="shared" si="16"/>
        <v>18.52</v>
      </c>
      <c r="W34" s="58">
        <f t="shared" si="17"/>
        <v>37.020000000000003</v>
      </c>
      <c r="X34" s="58">
        <f t="shared" si="18"/>
        <v>2.2799999999999998</v>
      </c>
      <c r="Y34" s="59">
        <f t="shared" si="19"/>
        <v>4.2699999999999996</v>
      </c>
      <c r="Z34" s="58">
        <f t="shared" si="20"/>
        <v>52.02</v>
      </c>
      <c r="AA34" s="58" t="s">
        <v>526</v>
      </c>
      <c r="AB34" s="58" t="s">
        <v>526</v>
      </c>
      <c r="AC34" s="63" t="s">
        <v>267</v>
      </c>
    </row>
    <row r="35" spans="1:29" ht="33" x14ac:dyDescent="0.25">
      <c r="A35" s="997"/>
      <c r="B35" s="400" t="s">
        <v>544</v>
      </c>
      <c r="C35" s="401">
        <f t="shared" si="13"/>
        <v>10.119999999999999</v>
      </c>
      <c r="D35" s="64"/>
      <c r="E35" s="65">
        <v>0.4</v>
      </c>
      <c r="F35" s="65" t="s">
        <v>526</v>
      </c>
      <c r="G35" s="64">
        <v>0.23899999999999999</v>
      </c>
      <c r="H35" s="64">
        <v>2.2799999999999998</v>
      </c>
      <c r="I35" s="64">
        <v>0.48299999999999998</v>
      </c>
      <c r="J35" s="64">
        <v>3.04</v>
      </c>
      <c r="K35" s="65" t="s">
        <v>526</v>
      </c>
      <c r="L35" s="65" t="s">
        <v>526</v>
      </c>
      <c r="M35" s="65" t="s">
        <v>526</v>
      </c>
      <c r="N35" s="65" t="s">
        <v>526</v>
      </c>
      <c r="O35" s="68">
        <v>2.2599999999999998</v>
      </c>
      <c r="P35" s="68">
        <v>2.2599999999999998</v>
      </c>
      <c r="Q35" s="69">
        <f t="shared" si="14"/>
        <v>2.2599999999999998</v>
      </c>
      <c r="R35" s="69">
        <v>0.01</v>
      </c>
      <c r="S35" s="71">
        <v>1.5</v>
      </c>
      <c r="T35" s="72" t="s">
        <v>265</v>
      </c>
      <c r="U35" s="59">
        <f t="shared" si="15"/>
        <v>22.77</v>
      </c>
      <c r="V35" s="59">
        <f t="shared" si="16"/>
        <v>13.81</v>
      </c>
      <c r="W35" s="58">
        <f t="shared" si="17"/>
        <v>32.31</v>
      </c>
      <c r="X35" s="58">
        <f t="shared" si="18"/>
        <v>2.2799999999999998</v>
      </c>
      <c r="Y35" s="59">
        <f t="shared" si="19"/>
        <v>4.2699999999999996</v>
      </c>
      <c r="Z35" s="58">
        <f t="shared" si="20"/>
        <v>45.74</v>
      </c>
      <c r="AA35" s="58" t="s">
        <v>526</v>
      </c>
      <c r="AB35" s="58" t="s">
        <v>526</v>
      </c>
      <c r="AC35" s="63" t="s">
        <v>267</v>
      </c>
    </row>
    <row r="36" spans="1:29" ht="33" x14ac:dyDescent="0.25">
      <c r="A36" s="997"/>
      <c r="B36" s="400" t="s">
        <v>545</v>
      </c>
      <c r="C36" s="401">
        <f t="shared" si="13"/>
        <v>10.119999999999999</v>
      </c>
      <c r="D36" s="64"/>
      <c r="E36" s="65">
        <v>0.4</v>
      </c>
      <c r="F36" s="65" t="s">
        <v>526</v>
      </c>
      <c r="G36" s="64">
        <v>0.23899999999999999</v>
      </c>
      <c r="H36" s="64">
        <v>2.2799999999999998</v>
      </c>
      <c r="I36" s="64">
        <v>0.48299999999999998</v>
      </c>
      <c r="J36" s="64">
        <v>3.04</v>
      </c>
      <c r="K36" s="65" t="s">
        <v>526</v>
      </c>
      <c r="L36" s="65" t="s">
        <v>526</v>
      </c>
      <c r="M36" s="65" t="s">
        <v>526</v>
      </c>
      <c r="N36" s="65" t="s">
        <v>526</v>
      </c>
      <c r="O36" s="68">
        <v>2.2000000000000002</v>
      </c>
      <c r="P36" s="68">
        <v>2.2000000000000002</v>
      </c>
      <c r="Q36" s="69">
        <f t="shared" si="14"/>
        <v>2.2000000000000002</v>
      </c>
      <c r="R36" s="69">
        <v>0.01</v>
      </c>
      <c r="S36" s="71">
        <v>1.5</v>
      </c>
      <c r="T36" s="72" t="s">
        <v>265</v>
      </c>
      <c r="U36" s="59">
        <f t="shared" si="15"/>
        <v>22.77</v>
      </c>
      <c r="V36" s="59">
        <f t="shared" si="16"/>
        <v>12.9</v>
      </c>
      <c r="W36" s="58">
        <f t="shared" si="17"/>
        <v>31.4</v>
      </c>
      <c r="X36" s="58">
        <f t="shared" si="18"/>
        <v>2.2799999999999998</v>
      </c>
      <c r="Y36" s="59">
        <f t="shared" si="19"/>
        <v>4.2699999999999996</v>
      </c>
      <c r="Z36" s="58">
        <f t="shared" si="20"/>
        <v>44.53</v>
      </c>
      <c r="AA36" s="58" t="s">
        <v>526</v>
      </c>
      <c r="AB36" s="58" t="s">
        <v>526</v>
      </c>
      <c r="AC36" s="63" t="s">
        <v>267</v>
      </c>
    </row>
    <row r="37" spans="1:29" ht="33" x14ac:dyDescent="0.25">
      <c r="A37" s="997"/>
      <c r="B37" s="400" t="s">
        <v>546</v>
      </c>
      <c r="C37" s="401">
        <f t="shared" si="13"/>
        <v>10.119999999999999</v>
      </c>
      <c r="D37" s="64"/>
      <c r="E37" s="65">
        <v>0.4</v>
      </c>
      <c r="F37" s="65" t="s">
        <v>526</v>
      </c>
      <c r="G37" s="64">
        <v>0.23899999999999999</v>
      </c>
      <c r="H37" s="64">
        <v>2.2799999999999998</v>
      </c>
      <c r="I37" s="64">
        <v>0.48299999999999998</v>
      </c>
      <c r="J37" s="64">
        <v>3.04</v>
      </c>
      <c r="K37" s="65" t="s">
        <v>526</v>
      </c>
      <c r="L37" s="65" t="s">
        <v>526</v>
      </c>
      <c r="M37" s="65" t="s">
        <v>526</v>
      </c>
      <c r="N37" s="65" t="s">
        <v>526</v>
      </c>
      <c r="O37" s="68">
        <v>2.14</v>
      </c>
      <c r="P37" s="68">
        <v>2.14</v>
      </c>
      <c r="Q37" s="69">
        <f t="shared" ref="Q37:Q41" si="21">(O37+P37)/2</f>
        <v>2.14</v>
      </c>
      <c r="R37" s="69">
        <v>0.01</v>
      </c>
      <c r="S37" s="71">
        <v>1.5</v>
      </c>
      <c r="T37" s="72" t="s">
        <v>265</v>
      </c>
      <c r="U37" s="59">
        <f t="shared" ref="U37:U41" si="22">IF(P37&lt;1.5,C37*S37*(P37+0.15),C37*S37*(1.5))</f>
        <v>22.77</v>
      </c>
      <c r="V37" s="59">
        <f t="shared" ref="V37:V41" si="23">IF(Q37&lt;1.5,0,C37*S37*((Q37-1.5)+0.15))</f>
        <v>11.99</v>
      </c>
      <c r="W37" s="58">
        <f t="shared" ref="W37:W41" si="24">IF(SUM(U37:V37)-C37*PI()*((E37+0.1)^2)/4-X37&lt;0,0,SUM(U37:V37)-C37*PI()*((E37+0.1)^2)/4-X37)</f>
        <v>30.49</v>
      </c>
      <c r="X37" s="58">
        <f t="shared" ref="X37:X41" si="25">IF(E37&lt; 0.61,0.15*C37*S37,0.15*C37*S37)</f>
        <v>2.2799999999999998</v>
      </c>
      <c r="Y37" s="59">
        <f t="shared" ref="Y37:Y41" si="26">U37+V37-W37</f>
        <v>4.2699999999999996</v>
      </c>
      <c r="Z37" s="58">
        <f t="shared" ref="Z37:Z41" si="27">IF(Q37&lt;1.25,0,Q37*C37*2)</f>
        <v>43.31</v>
      </c>
      <c r="AA37" s="58" t="s">
        <v>526</v>
      </c>
      <c r="AB37" s="58" t="s">
        <v>526</v>
      </c>
      <c r="AC37" s="63" t="s">
        <v>267</v>
      </c>
    </row>
    <row r="38" spans="1:29" ht="33" x14ac:dyDescent="0.25">
      <c r="A38" s="997"/>
      <c r="B38" s="400" t="s">
        <v>547</v>
      </c>
      <c r="C38" s="401">
        <f t="shared" si="13"/>
        <v>10.119999999999999</v>
      </c>
      <c r="D38" s="64"/>
      <c r="E38" s="65">
        <v>0.4</v>
      </c>
      <c r="F38" s="65" t="s">
        <v>526</v>
      </c>
      <c r="G38" s="64">
        <v>0.23899999999999999</v>
      </c>
      <c r="H38" s="64">
        <v>2.2799999999999998</v>
      </c>
      <c r="I38" s="64">
        <v>0.48299999999999998</v>
      </c>
      <c r="J38" s="64">
        <v>3.04</v>
      </c>
      <c r="K38" s="65" t="s">
        <v>526</v>
      </c>
      <c r="L38" s="65" t="s">
        <v>526</v>
      </c>
      <c r="M38" s="65" t="s">
        <v>526</v>
      </c>
      <c r="N38" s="65" t="s">
        <v>526</v>
      </c>
      <c r="O38" s="68">
        <v>2.09</v>
      </c>
      <c r="P38" s="68">
        <v>2.09</v>
      </c>
      <c r="Q38" s="69">
        <f t="shared" si="21"/>
        <v>2.09</v>
      </c>
      <c r="R38" s="69">
        <v>0.01</v>
      </c>
      <c r="S38" s="71">
        <v>1.5</v>
      </c>
      <c r="T38" s="72" t="s">
        <v>265</v>
      </c>
      <c r="U38" s="59">
        <f t="shared" si="22"/>
        <v>22.77</v>
      </c>
      <c r="V38" s="59">
        <f t="shared" si="23"/>
        <v>11.23</v>
      </c>
      <c r="W38" s="58">
        <f t="shared" si="24"/>
        <v>29.73</v>
      </c>
      <c r="X38" s="58">
        <f t="shared" si="25"/>
        <v>2.2799999999999998</v>
      </c>
      <c r="Y38" s="59">
        <f t="shared" si="26"/>
        <v>4.2699999999999996</v>
      </c>
      <c r="Z38" s="58">
        <f t="shared" si="27"/>
        <v>42.3</v>
      </c>
      <c r="AA38" s="58" t="s">
        <v>526</v>
      </c>
      <c r="AB38" s="58" t="s">
        <v>526</v>
      </c>
      <c r="AC38" s="63" t="s">
        <v>267</v>
      </c>
    </row>
    <row r="39" spans="1:29" ht="33" x14ac:dyDescent="0.25">
      <c r="A39" s="997"/>
      <c r="B39" s="400" t="s">
        <v>548</v>
      </c>
      <c r="C39" s="401">
        <f t="shared" si="13"/>
        <v>10.119999999999999</v>
      </c>
      <c r="D39" s="64"/>
      <c r="E39" s="65">
        <v>0.4</v>
      </c>
      <c r="F39" s="65" t="s">
        <v>526</v>
      </c>
      <c r="G39" s="64">
        <v>0.23899999999999999</v>
      </c>
      <c r="H39" s="64">
        <v>2.2799999999999998</v>
      </c>
      <c r="I39" s="64">
        <v>0.48299999999999998</v>
      </c>
      <c r="J39" s="64">
        <v>3.04</v>
      </c>
      <c r="K39" s="65" t="s">
        <v>526</v>
      </c>
      <c r="L39" s="65" t="s">
        <v>526</v>
      </c>
      <c r="M39" s="65" t="s">
        <v>526</v>
      </c>
      <c r="N39" s="65" t="s">
        <v>526</v>
      </c>
      <c r="O39" s="68">
        <v>2.04</v>
      </c>
      <c r="P39" s="68">
        <v>2.04</v>
      </c>
      <c r="Q39" s="69">
        <f t="shared" si="21"/>
        <v>2.04</v>
      </c>
      <c r="R39" s="69">
        <v>0.01</v>
      </c>
      <c r="S39" s="71">
        <v>1.5</v>
      </c>
      <c r="T39" s="72" t="s">
        <v>265</v>
      </c>
      <c r="U39" s="59">
        <f t="shared" si="22"/>
        <v>22.77</v>
      </c>
      <c r="V39" s="59">
        <f t="shared" si="23"/>
        <v>10.47</v>
      </c>
      <c r="W39" s="58">
        <f t="shared" si="24"/>
        <v>28.97</v>
      </c>
      <c r="X39" s="58">
        <f t="shared" si="25"/>
        <v>2.2799999999999998</v>
      </c>
      <c r="Y39" s="59">
        <f t="shared" si="26"/>
        <v>4.2699999999999996</v>
      </c>
      <c r="Z39" s="58">
        <f t="shared" si="27"/>
        <v>41.29</v>
      </c>
      <c r="AA39" s="58" t="s">
        <v>526</v>
      </c>
      <c r="AB39" s="58" t="s">
        <v>526</v>
      </c>
      <c r="AC39" s="63" t="s">
        <v>267</v>
      </c>
    </row>
    <row r="40" spans="1:29" ht="33" x14ac:dyDescent="0.25">
      <c r="A40" s="997"/>
      <c r="B40" s="400" t="s">
        <v>549</v>
      </c>
      <c r="C40" s="401">
        <f t="shared" si="13"/>
        <v>10.119999999999999</v>
      </c>
      <c r="D40" s="64"/>
      <c r="E40" s="65">
        <v>0.4</v>
      </c>
      <c r="F40" s="65" t="s">
        <v>526</v>
      </c>
      <c r="G40" s="64">
        <v>0.23899999999999999</v>
      </c>
      <c r="H40" s="64">
        <v>2.2799999999999998</v>
      </c>
      <c r="I40" s="64">
        <v>0.48299999999999998</v>
      </c>
      <c r="J40" s="64">
        <v>3.04</v>
      </c>
      <c r="K40" s="65" t="s">
        <v>526</v>
      </c>
      <c r="L40" s="65" t="s">
        <v>526</v>
      </c>
      <c r="M40" s="65" t="s">
        <v>526</v>
      </c>
      <c r="N40" s="65" t="s">
        <v>526</v>
      </c>
      <c r="O40" s="68">
        <v>1.99</v>
      </c>
      <c r="P40" s="68">
        <v>1.99</v>
      </c>
      <c r="Q40" s="69">
        <f t="shared" si="21"/>
        <v>1.99</v>
      </c>
      <c r="R40" s="69">
        <v>0.01</v>
      </c>
      <c r="S40" s="71">
        <v>1.5</v>
      </c>
      <c r="T40" s="72" t="s">
        <v>265</v>
      </c>
      <c r="U40" s="59">
        <f t="shared" si="22"/>
        <v>22.77</v>
      </c>
      <c r="V40" s="59">
        <f t="shared" si="23"/>
        <v>9.7200000000000006</v>
      </c>
      <c r="W40" s="58">
        <f t="shared" si="24"/>
        <v>28.22</v>
      </c>
      <c r="X40" s="58">
        <f t="shared" si="25"/>
        <v>2.2799999999999998</v>
      </c>
      <c r="Y40" s="59">
        <f t="shared" si="26"/>
        <v>4.2699999999999996</v>
      </c>
      <c r="Z40" s="58">
        <f t="shared" si="27"/>
        <v>40.28</v>
      </c>
      <c r="AA40" s="58" t="s">
        <v>526</v>
      </c>
      <c r="AB40" s="58" t="str">
        <f t="shared" ref="AB40:AB41" si="28">IF(O40&lt;2,"-",IF(O40&lt;=3,"CPV 01",IF(O40&lt;=3.5,"CPV 02",IF(O40&lt;=4,"CPV 03",IF(O40&lt;=4.5,"CPV 04",IF(O40&lt;=5,"CPV 05",IF(O40&lt;=5.5,"CPV 06")))))))</f>
        <v>-</v>
      </c>
      <c r="AC40" s="63" t="s">
        <v>267</v>
      </c>
    </row>
    <row r="41" spans="1:29" ht="33" x14ac:dyDescent="0.25">
      <c r="A41" s="996"/>
      <c r="B41" s="400" t="s">
        <v>550</v>
      </c>
      <c r="C41" s="401">
        <f t="shared" si="13"/>
        <v>10.119999999999999</v>
      </c>
      <c r="D41" s="64"/>
      <c r="E41" s="65">
        <v>0.4</v>
      </c>
      <c r="F41" s="65" t="s">
        <v>526</v>
      </c>
      <c r="G41" s="64">
        <v>0.23899999999999999</v>
      </c>
      <c r="H41" s="64">
        <v>2.2799999999999998</v>
      </c>
      <c r="I41" s="64">
        <v>0.48299999999999998</v>
      </c>
      <c r="J41" s="64">
        <v>3.04</v>
      </c>
      <c r="K41" s="65" t="s">
        <v>526</v>
      </c>
      <c r="L41" s="65" t="s">
        <v>526</v>
      </c>
      <c r="M41" s="65" t="s">
        <v>526</v>
      </c>
      <c r="N41" s="65" t="s">
        <v>526</v>
      </c>
      <c r="O41" s="68">
        <v>1.94</v>
      </c>
      <c r="P41" s="69">
        <v>1.94</v>
      </c>
      <c r="Q41" s="69">
        <f t="shared" si="21"/>
        <v>1.94</v>
      </c>
      <c r="R41" s="69">
        <v>0.01</v>
      </c>
      <c r="S41" s="71">
        <v>1.5</v>
      </c>
      <c r="T41" s="72" t="s">
        <v>265</v>
      </c>
      <c r="U41" s="59">
        <f t="shared" si="22"/>
        <v>22.77</v>
      </c>
      <c r="V41" s="59">
        <f t="shared" si="23"/>
        <v>8.9600000000000009</v>
      </c>
      <c r="W41" s="58">
        <f t="shared" si="24"/>
        <v>27.46</v>
      </c>
      <c r="X41" s="58">
        <f t="shared" si="25"/>
        <v>2.2799999999999998</v>
      </c>
      <c r="Y41" s="59">
        <f t="shared" si="26"/>
        <v>4.2699999999999996</v>
      </c>
      <c r="Z41" s="58">
        <f t="shared" si="27"/>
        <v>39.270000000000003</v>
      </c>
      <c r="AA41" s="58" t="s">
        <v>526</v>
      </c>
      <c r="AB41" s="58" t="str">
        <f t="shared" si="28"/>
        <v>-</v>
      </c>
      <c r="AC41" s="63" t="s">
        <v>267</v>
      </c>
    </row>
    <row r="42" spans="1:29" ht="16.5" x14ac:dyDescent="0.25">
      <c r="A42" s="399"/>
      <c r="B42" s="400"/>
      <c r="C42" s="390">
        <f>SUM(C21:C41)</f>
        <v>212.44</v>
      </c>
      <c r="D42" s="64"/>
      <c r="E42" s="65"/>
      <c r="F42" s="65"/>
      <c r="G42" s="64"/>
      <c r="H42" s="64"/>
      <c r="I42" s="64"/>
      <c r="J42" s="64"/>
      <c r="K42" s="66"/>
      <c r="L42" s="66"/>
      <c r="M42" s="67"/>
      <c r="N42" s="67"/>
      <c r="O42" s="68"/>
      <c r="P42" s="69"/>
      <c r="Q42" s="69"/>
      <c r="R42" s="69"/>
      <c r="S42" s="71"/>
      <c r="T42" s="72"/>
      <c r="U42" s="391">
        <f t="shared" ref="U42:Z42" si="29">SUM(U21:U41)</f>
        <v>477.99</v>
      </c>
      <c r="V42" s="391">
        <f t="shared" si="29"/>
        <v>279.38</v>
      </c>
      <c r="W42" s="391">
        <f t="shared" si="29"/>
        <v>667.74</v>
      </c>
      <c r="X42" s="391">
        <f t="shared" si="29"/>
        <v>47.86</v>
      </c>
      <c r="Y42" s="391">
        <f t="shared" si="29"/>
        <v>89.63</v>
      </c>
      <c r="Z42" s="391">
        <f t="shared" si="29"/>
        <v>946.12</v>
      </c>
      <c r="AA42" s="58"/>
      <c r="AB42" s="58"/>
      <c r="AC42" s="63"/>
    </row>
    <row r="43" spans="1:29" ht="31.9" customHeight="1" x14ac:dyDescent="0.25">
      <c r="A43" s="995" t="s">
        <v>457</v>
      </c>
      <c r="B43" s="400" t="s">
        <v>551</v>
      </c>
      <c r="C43" s="401">
        <f>5.69+6.47</f>
        <v>12.16</v>
      </c>
      <c r="D43" s="64"/>
      <c r="E43" s="65">
        <v>0.4</v>
      </c>
      <c r="F43" s="65" t="s">
        <v>526</v>
      </c>
      <c r="G43" s="64">
        <v>0.23899999999999999</v>
      </c>
      <c r="H43" s="64">
        <v>2.2799999999999998</v>
      </c>
      <c r="I43" s="64">
        <v>0.48299999999999998</v>
      </c>
      <c r="J43" s="64">
        <v>3.04</v>
      </c>
      <c r="K43" s="65" t="s">
        <v>526</v>
      </c>
      <c r="L43" s="65" t="s">
        <v>526</v>
      </c>
      <c r="M43" s="65" t="s">
        <v>526</v>
      </c>
      <c r="N43" s="65" t="s">
        <v>526</v>
      </c>
      <c r="O43" s="68">
        <v>1.5</v>
      </c>
      <c r="P43" s="69">
        <v>1.5</v>
      </c>
      <c r="Q43" s="69">
        <f>(O43+P43)/2</f>
        <v>1.5</v>
      </c>
      <c r="R43" s="69">
        <v>0.01</v>
      </c>
      <c r="S43" s="71">
        <v>1.5</v>
      </c>
      <c r="T43" s="72" t="s">
        <v>265</v>
      </c>
      <c r="U43" s="59">
        <f>IF(P43&lt;1.5,C43*S43*(P43+0.15),C43*S43*(1.5))</f>
        <v>27.36</v>
      </c>
      <c r="V43" s="59">
        <f>IF(Q43&lt;1.5,0,C43*S43*((Q43-1.5)+0.15))</f>
        <v>2.74</v>
      </c>
      <c r="W43" s="58">
        <f>IF(SUM(U43:V43)-C43*PI()*((E43+0.1)^2)/4-X43&lt;0,0,SUM(U43:V43)-C43*PI()*((E43+0.1)^2)/4-X43)</f>
        <v>24.97</v>
      </c>
      <c r="X43" s="58">
        <f>IF(E43&lt; 0.61,0.15*C43*S43,0.15*C43*S43)</f>
        <v>2.74</v>
      </c>
      <c r="Y43" s="59">
        <f>U43+V43-W43</f>
        <v>5.13</v>
      </c>
      <c r="Z43" s="58">
        <f>IF(Q43&lt;1.25,0,Q43*C43*2)</f>
        <v>36.479999999999997</v>
      </c>
      <c r="AA43" s="58" t="s">
        <v>526</v>
      </c>
      <c r="AB43" s="58" t="str">
        <f t="shared" ref="AB43" si="30">IF(O43&lt;2,"-",IF(O43&lt;=3,"CPV 01",IF(O43&lt;=3.5,"CPV 02",IF(O43&lt;=4,"CPV 03",IF(O43&lt;=4.5,"CPV 04",IF(O43&lt;=5,"CPV 05",IF(O43&lt;=5.5,"CPV 06")))))))</f>
        <v>-</v>
      </c>
      <c r="AC43" s="63" t="s">
        <v>267</v>
      </c>
    </row>
    <row r="44" spans="1:29" ht="31.9" customHeight="1" x14ac:dyDescent="0.25">
      <c r="A44" s="997"/>
      <c r="B44" s="400" t="s">
        <v>552</v>
      </c>
      <c r="C44" s="401">
        <f>5.67+6.72</f>
        <v>12.39</v>
      </c>
      <c r="D44" s="64"/>
      <c r="E44" s="65">
        <v>0.4</v>
      </c>
      <c r="F44" s="65" t="s">
        <v>526</v>
      </c>
      <c r="G44" s="64">
        <v>0.23899999999999999</v>
      </c>
      <c r="H44" s="64">
        <v>2.2799999999999998</v>
      </c>
      <c r="I44" s="64">
        <v>0.48299999999999998</v>
      </c>
      <c r="J44" s="64">
        <v>3.04</v>
      </c>
      <c r="K44" s="65" t="s">
        <v>526</v>
      </c>
      <c r="L44" s="65" t="s">
        <v>526</v>
      </c>
      <c r="M44" s="65" t="s">
        <v>526</v>
      </c>
      <c r="N44" s="65" t="s">
        <v>526</v>
      </c>
      <c r="O44" s="68">
        <v>1.5</v>
      </c>
      <c r="P44" s="69">
        <v>1.5</v>
      </c>
      <c r="Q44" s="69">
        <f t="shared" ref="Q44:Q48" si="31">(O44+P44)/2</f>
        <v>1.5</v>
      </c>
      <c r="R44" s="69">
        <v>0.01</v>
      </c>
      <c r="S44" s="71">
        <v>1.5</v>
      </c>
      <c r="T44" s="72" t="s">
        <v>265</v>
      </c>
      <c r="U44" s="59">
        <f t="shared" ref="U44:U48" si="32">IF(P44&lt;1.5,C44*S44*(P44+0.15),C44*S44*(1.5))</f>
        <v>27.88</v>
      </c>
      <c r="V44" s="59">
        <f t="shared" ref="V44:V48" si="33">IF(Q44&lt;1.5,0,C44*S44*((Q44-1.5)+0.15))</f>
        <v>2.79</v>
      </c>
      <c r="W44" s="58">
        <f t="shared" ref="W44:W48" si="34">IF(SUM(U44:V44)-C44*PI()*((E44+0.1)^2)/4-X44&lt;0,0,SUM(U44:V44)-C44*PI()*((E44+0.1)^2)/4-X44)</f>
        <v>25.45</v>
      </c>
      <c r="X44" s="58">
        <f t="shared" ref="X44:X48" si="35">IF(E44&lt; 0.61,0.15*C44*S44,0.15*C44*S44)</f>
        <v>2.79</v>
      </c>
      <c r="Y44" s="59">
        <f t="shared" ref="Y44:Y48" si="36">U44+V44-W44</f>
        <v>5.22</v>
      </c>
      <c r="Z44" s="58">
        <f t="shared" ref="Z44:Z48" si="37">IF(Q44&lt;1.25,0,Q44*C44*2)</f>
        <v>37.17</v>
      </c>
      <c r="AA44" s="58" t="s">
        <v>526</v>
      </c>
      <c r="AB44" s="58" t="str">
        <f t="shared" ref="AB44:AB48" si="38">IF(O44&lt;2,"-",IF(O44&lt;=3,"CPV 01",IF(O44&lt;=3.5,"CPV 02",IF(O44&lt;=4,"CPV 03",IF(O44&lt;=4.5,"CPV 04",IF(O44&lt;=5,"CPV 05",IF(O44&lt;=5.5,"CPV 06")))))))</f>
        <v>-</v>
      </c>
      <c r="AC44" s="63" t="s">
        <v>267</v>
      </c>
    </row>
    <row r="45" spans="1:29" ht="31.9" customHeight="1" x14ac:dyDescent="0.25">
      <c r="A45" s="997"/>
      <c r="B45" s="400" t="s">
        <v>553</v>
      </c>
      <c r="C45" s="401">
        <f>5.68+6.85</f>
        <v>12.53</v>
      </c>
      <c r="D45" s="64"/>
      <c r="E45" s="65">
        <v>0.4</v>
      </c>
      <c r="F45" s="65" t="s">
        <v>526</v>
      </c>
      <c r="G45" s="64">
        <v>0.23899999999999999</v>
      </c>
      <c r="H45" s="64">
        <v>2.2799999999999998</v>
      </c>
      <c r="I45" s="64">
        <v>0.48299999999999998</v>
      </c>
      <c r="J45" s="64">
        <v>3.04</v>
      </c>
      <c r="K45" s="65" t="s">
        <v>526</v>
      </c>
      <c r="L45" s="65" t="s">
        <v>526</v>
      </c>
      <c r="M45" s="65" t="s">
        <v>526</v>
      </c>
      <c r="N45" s="65" t="s">
        <v>526</v>
      </c>
      <c r="O45" s="68">
        <v>1.5</v>
      </c>
      <c r="P45" s="69">
        <v>1.5</v>
      </c>
      <c r="Q45" s="69">
        <f t="shared" si="31"/>
        <v>1.5</v>
      </c>
      <c r="R45" s="69">
        <v>0.01</v>
      </c>
      <c r="S45" s="71">
        <v>1.5</v>
      </c>
      <c r="T45" s="72" t="s">
        <v>265</v>
      </c>
      <c r="U45" s="59">
        <f t="shared" si="32"/>
        <v>28.19</v>
      </c>
      <c r="V45" s="59">
        <f t="shared" si="33"/>
        <v>2.82</v>
      </c>
      <c r="W45" s="58">
        <f t="shared" si="34"/>
        <v>25.73</v>
      </c>
      <c r="X45" s="58">
        <f t="shared" si="35"/>
        <v>2.82</v>
      </c>
      <c r="Y45" s="59">
        <f t="shared" si="36"/>
        <v>5.28</v>
      </c>
      <c r="Z45" s="58">
        <f t="shared" si="37"/>
        <v>37.590000000000003</v>
      </c>
      <c r="AA45" s="58" t="s">
        <v>526</v>
      </c>
      <c r="AB45" s="58" t="str">
        <f t="shared" si="38"/>
        <v>-</v>
      </c>
      <c r="AC45" s="63" t="s">
        <v>267</v>
      </c>
    </row>
    <row r="46" spans="1:29" ht="31.9" customHeight="1" x14ac:dyDescent="0.25">
      <c r="A46" s="997"/>
      <c r="B46" s="400" t="s">
        <v>554</v>
      </c>
      <c r="C46" s="401">
        <f>6.25+6.77+6.57</f>
        <v>19.59</v>
      </c>
      <c r="D46" s="64"/>
      <c r="E46" s="65">
        <v>0.4</v>
      </c>
      <c r="F46" s="65" t="s">
        <v>526</v>
      </c>
      <c r="G46" s="64">
        <v>0.23899999999999999</v>
      </c>
      <c r="H46" s="64">
        <v>2.2799999999999998</v>
      </c>
      <c r="I46" s="64">
        <v>0.48299999999999998</v>
      </c>
      <c r="J46" s="64">
        <v>3.04</v>
      </c>
      <c r="K46" s="65" t="s">
        <v>526</v>
      </c>
      <c r="L46" s="65" t="s">
        <v>526</v>
      </c>
      <c r="M46" s="65" t="s">
        <v>526</v>
      </c>
      <c r="N46" s="65" t="s">
        <v>526</v>
      </c>
      <c r="O46" s="68">
        <v>1.5</v>
      </c>
      <c r="P46" s="69">
        <v>1.5</v>
      </c>
      <c r="Q46" s="69">
        <f t="shared" si="31"/>
        <v>1.5</v>
      </c>
      <c r="R46" s="69">
        <v>0.01</v>
      </c>
      <c r="S46" s="71">
        <v>1.5</v>
      </c>
      <c r="T46" s="72" t="s">
        <v>265</v>
      </c>
      <c r="U46" s="59">
        <f t="shared" si="32"/>
        <v>44.08</v>
      </c>
      <c r="V46" s="59">
        <f t="shared" si="33"/>
        <v>4.41</v>
      </c>
      <c r="W46" s="58">
        <f t="shared" si="34"/>
        <v>40.229999999999997</v>
      </c>
      <c r="X46" s="58">
        <f t="shared" si="35"/>
        <v>4.41</v>
      </c>
      <c r="Y46" s="59">
        <f t="shared" si="36"/>
        <v>8.26</v>
      </c>
      <c r="Z46" s="58">
        <f t="shared" si="37"/>
        <v>58.77</v>
      </c>
      <c r="AA46" s="58" t="s">
        <v>526</v>
      </c>
      <c r="AB46" s="58" t="str">
        <f t="shared" si="38"/>
        <v>-</v>
      </c>
      <c r="AC46" s="63" t="s">
        <v>267</v>
      </c>
    </row>
    <row r="47" spans="1:29" ht="31.9" customHeight="1" x14ac:dyDescent="0.25">
      <c r="A47" s="997"/>
      <c r="B47" s="400" t="s">
        <v>555</v>
      </c>
      <c r="C47" s="401">
        <f>5.28+5.73</f>
        <v>11.01</v>
      </c>
      <c r="D47" s="64"/>
      <c r="E47" s="65">
        <v>0.4</v>
      </c>
      <c r="F47" s="65" t="s">
        <v>526</v>
      </c>
      <c r="G47" s="64">
        <v>0.23899999999999999</v>
      </c>
      <c r="H47" s="64">
        <v>2.2799999999999998</v>
      </c>
      <c r="I47" s="64">
        <v>0.48299999999999998</v>
      </c>
      <c r="J47" s="64">
        <v>3.04</v>
      </c>
      <c r="K47" s="65" t="s">
        <v>526</v>
      </c>
      <c r="L47" s="65" t="s">
        <v>526</v>
      </c>
      <c r="M47" s="65" t="s">
        <v>526</v>
      </c>
      <c r="N47" s="65" t="s">
        <v>526</v>
      </c>
      <c r="O47" s="68">
        <v>1.5</v>
      </c>
      <c r="P47" s="69">
        <v>1.5</v>
      </c>
      <c r="Q47" s="69">
        <f t="shared" si="31"/>
        <v>1.5</v>
      </c>
      <c r="R47" s="69">
        <v>0.01</v>
      </c>
      <c r="S47" s="71">
        <v>1.5</v>
      </c>
      <c r="T47" s="72" t="s">
        <v>265</v>
      </c>
      <c r="U47" s="59">
        <f t="shared" si="32"/>
        <v>24.77</v>
      </c>
      <c r="V47" s="59">
        <f t="shared" si="33"/>
        <v>2.48</v>
      </c>
      <c r="W47" s="58">
        <f t="shared" si="34"/>
        <v>22.61</v>
      </c>
      <c r="X47" s="58">
        <f t="shared" si="35"/>
        <v>2.48</v>
      </c>
      <c r="Y47" s="59">
        <f t="shared" si="36"/>
        <v>4.6399999999999997</v>
      </c>
      <c r="Z47" s="58">
        <f t="shared" si="37"/>
        <v>33.03</v>
      </c>
      <c r="AA47" s="58" t="s">
        <v>526</v>
      </c>
      <c r="AB47" s="58" t="str">
        <f t="shared" si="38"/>
        <v>-</v>
      </c>
      <c r="AC47" s="63" t="s">
        <v>267</v>
      </c>
    </row>
    <row r="48" spans="1:29" ht="31.9" customHeight="1" x14ac:dyDescent="0.25">
      <c r="A48" s="996"/>
      <c r="B48" s="400" t="s">
        <v>556</v>
      </c>
      <c r="C48" s="401">
        <f>6.49+6.73+6.91</f>
        <v>20.13</v>
      </c>
      <c r="D48" s="64"/>
      <c r="E48" s="65">
        <v>0.4</v>
      </c>
      <c r="F48" s="65" t="s">
        <v>526</v>
      </c>
      <c r="G48" s="64">
        <v>0.23899999999999999</v>
      </c>
      <c r="H48" s="64">
        <v>2.2799999999999998</v>
      </c>
      <c r="I48" s="64">
        <v>0.48299999999999998</v>
      </c>
      <c r="J48" s="64">
        <v>3.04</v>
      </c>
      <c r="K48" s="65" t="s">
        <v>526</v>
      </c>
      <c r="L48" s="65" t="s">
        <v>526</v>
      </c>
      <c r="M48" s="65" t="s">
        <v>526</v>
      </c>
      <c r="N48" s="65" t="s">
        <v>526</v>
      </c>
      <c r="O48" s="68">
        <v>1.5</v>
      </c>
      <c r="P48" s="69">
        <v>1.5</v>
      </c>
      <c r="Q48" s="69">
        <f t="shared" si="31"/>
        <v>1.5</v>
      </c>
      <c r="R48" s="69">
        <v>0.01</v>
      </c>
      <c r="S48" s="71">
        <v>1.5</v>
      </c>
      <c r="T48" s="72" t="s">
        <v>265</v>
      </c>
      <c r="U48" s="59">
        <f t="shared" si="32"/>
        <v>45.29</v>
      </c>
      <c r="V48" s="59">
        <f t="shared" si="33"/>
        <v>4.53</v>
      </c>
      <c r="W48" s="58">
        <f t="shared" si="34"/>
        <v>41.34</v>
      </c>
      <c r="X48" s="58">
        <f t="shared" si="35"/>
        <v>4.53</v>
      </c>
      <c r="Y48" s="59">
        <f t="shared" si="36"/>
        <v>8.48</v>
      </c>
      <c r="Z48" s="58">
        <f t="shared" si="37"/>
        <v>60.39</v>
      </c>
      <c r="AA48" s="58" t="s">
        <v>526</v>
      </c>
      <c r="AB48" s="58" t="str">
        <f t="shared" si="38"/>
        <v>-</v>
      </c>
      <c r="AC48" s="63" t="s">
        <v>267</v>
      </c>
    </row>
    <row r="49" spans="1:29" ht="16.5" x14ac:dyDescent="0.25">
      <c r="A49" s="387"/>
      <c r="B49" s="400"/>
      <c r="C49" s="390">
        <f>SUM(C43:C48)</f>
        <v>87.81</v>
      </c>
      <c r="D49" s="64"/>
      <c r="E49" s="65"/>
      <c r="F49" s="65"/>
      <c r="G49" s="64"/>
      <c r="H49" s="64"/>
      <c r="I49" s="64"/>
      <c r="J49" s="64"/>
      <c r="K49" s="66"/>
      <c r="L49" s="66"/>
      <c r="M49" s="67"/>
      <c r="N49" s="67"/>
      <c r="O49" s="68"/>
      <c r="P49" s="69"/>
      <c r="Q49" s="69"/>
      <c r="R49" s="69"/>
      <c r="S49" s="71"/>
      <c r="T49" s="72"/>
      <c r="U49" s="390">
        <f t="shared" ref="U49:Z49" si="39">SUM(U43:U48)</f>
        <v>197.57</v>
      </c>
      <c r="V49" s="390">
        <f t="shared" si="39"/>
        <v>19.77</v>
      </c>
      <c r="W49" s="390">
        <f t="shared" si="39"/>
        <v>180.33</v>
      </c>
      <c r="X49" s="390">
        <f t="shared" si="39"/>
        <v>19.77</v>
      </c>
      <c r="Y49" s="390">
        <f t="shared" si="39"/>
        <v>37.01</v>
      </c>
      <c r="Z49" s="390">
        <f t="shared" si="39"/>
        <v>263.43</v>
      </c>
      <c r="AA49" s="58"/>
      <c r="AB49" s="58"/>
      <c r="AC49" s="63"/>
    </row>
    <row r="50" spans="1:29" ht="46.15" customHeight="1" x14ac:dyDescent="0.25">
      <c r="A50" s="995" t="s">
        <v>458</v>
      </c>
      <c r="B50" s="403" t="s">
        <v>557</v>
      </c>
      <c r="C50" s="392">
        <f>6.56+6.83+6.31</f>
        <v>19.7</v>
      </c>
      <c r="D50" s="64"/>
      <c r="E50" s="65">
        <v>0.4</v>
      </c>
      <c r="F50" s="65" t="s">
        <v>526</v>
      </c>
      <c r="G50" s="64">
        <v>0.23899999999999999</v>
      </c>
      <c r="H50" s="64">
        <v>2.2799999999999998</v>
      </c>
      <c r="I50" s="64">
        <v>0.48299999999999998</v>
      </c>
      <c r="J50" s="64">
        <v>3.04</v>
      </c>
      <c r="K50" s="65" t="s">
        <v>526</v>
      </c>
      <c r="L50" s="65" t="s">
        <v>526</v>
      </c>
      <c r="M50" s="65" t="s">
        <v>526</v>
      </c>
      <c r="N50" s="65" t="s">
        <v>526</v>
      </c>
      <c r="O50" s="68">
        <v>1.5</v>
      </c>
      <c r="P50" s="69">
        <v>1.5</v>
      </c>
      <c r="Q50" s="69">
        <f t="shared" ref="Q50:Q51" si="40">(O50+P50)/2</f>
        <v>1.5</v>
      </c>
      <c r="R50" s="69">
        <v>0.01</v>
      </c>
      <c r="S50" s="71">
        <v>1.5</v>
      </c>
      <c r="T50" s="72" t="s">
        <v>265</v>
      </c>
      <c r="U50" s="59">
        <f t="shared" ref="U50:U51" si="41">IF(P50&lt;1.5,C50*S50*(P50+0.15),C50*S50*(1.5))</f>
        <v>44.33</v>
      </c>
      <c r="V50" s="59">
        <f t="shared" ref="V50:V51" si="42">IF(Q50&lt;1.5,0,C50*S50*((Q50-1.5)+0.15))</f>
        <v>4.43</v>
      </c>
      <c r="W50" s="58">
        <f t="shared" ref="W50:W51" si="43">IF(SUM(U50:V50)-C50*PI()*((E50+0.1)^2)/4-X50&lt;0,0,SUM(U50:V50)-C50*PI()*((E50+0.1)^2)/4-X50)</f>
        <v>40.46</v>
      </c>
      <c r="X50" s="58">
        <f t="shared" ref="X50:X51" si="44">IF(E50&lt; 0.61,0.15*C50*S50,0.15*C50*S50)</f>
        <v>4.43</v>
      </c>
      <c r="Y50" s="59">
        <f t="shared" ref="Y50:Y51" si="45">U50+V50-W50</f>
        <v>8.3000000000000007</v>
      </c>
      <c r="Z50" s="58">
        <f t="shared" ref="Z50:Z51" si="46">IF(Q50&lt;1.25,0,Q50*C50*2)</f>
        <v>59.1</v>
      </c>
      <c r="AA50" s="58" t="s">
        <v>526</v>
      </c>
      <c r="AB50" s="58" t="str">
        <f t="shared" ref="AB50:AB53" si="47">IF(O50&lt;2,"-",IF(O50&lt;=3,"CPV 01",IF(O50&lt;=3.5,"CPV 02",IF(O50&lt;=4,"CPV 03",IF(O50&lt;=4.5,"CPV 04",IF(O50&lt;=5,"CPV 05",IF(O50&lt;=5.5,"CPV 06")))))))</f>
        <v>-</v>
      </c>
      <c r="AC50" s="63" t="s">
        <v>267</v>
      </c>
    </row>
    <row r="51" spans="1:29" ht="43.15" customHeight="1" x14ac:dyDescent="0.25">
      <c r="A51" s="997"/>
      <c r="B51" s="403" t="s">
        <v>558</v>
      </c>
      <c r="C51" s="401">
        <f>5.17+4.74+5.01</f>
        <v>14.92</v>
      </c>
      <c r="D51" s="64"/>
      <c r="E51" s="65">
        <v>0.4</v>
      </c>
      <c r="F51" s="65" t="s">
        <v>526</v>
      </c>
      <c r="G51" s="64">
        <v>0.23899999999999999</v>
      </c>
      <c r="H51" s="64">
        <v>2.2799999999999998</v>
      </c>
      <c r="I51" s="64">
        <v>0.48299999999999998</v>
      </c>
      <c r="J51" s="64">
        <v>3.04</v>
      </c>
      <c r="K51" s="65" t="s">
        <v>526</v>
      </c>
      <c r="L51" s="65" t="s">
        <v>526</v>
      </c>
      <c r="M51" s="65" t="s">
        <v>526</v>
      </c>
      <c r="N51" s="65" t="s">
        <v>526</v>
      </c>
      <c r="O51" s="68">
        <v>1.5</v>
      </c>
      <c r="P51" s="69">
        <v>1.5</v>
      </c>
      <c r="Q51" s="69">
        <f t="shared" si="40"/>
        <v>1.5</v>
      </c>
      <c r="R51" s="69">
        <v>0.01</v>
      </c>
      <c r="S51" s="71">
        <v>1.5</v>
      </c>
      <c r="T51" s="72" t="s">
        <v>265</v>
      </c>
      <c r="U51" s="59">
        <f t="shared" si="41"/>
        <v>33.57</v>
      </c>
      <c r="V51" s="59">
        <f t="shared" si="42"/>
        <v>3.36</v>
      </c>
      <c r="W51" s="58">
        <f t="shared" si="43"/>
        <v>30.64</v>
      </c>
      <c r="X51" s="58">
        <f t="shared" si="44"/>
        <v>3.36</v>
      </c>
      <c r="Y51" s="59">
        <f t="shared" si="45"/>
        <v>6.29</v>
      </c>
      <c r="Z51" s="58">
        <f t="shared" si="46"/>
        <v>44.76</v>
      </c>
      <c r="AA51" s="58" t="s">
        <v>526</v>
      </c>
      <c r="AB51" s="58" t="str">
        <f t="shared" si="47"/>
        <v>-</v>
      </c>
      <c r="AC51" s="404" t="s">
        <v>267</v>
      </c>
    </row>
    <row r="52" spans="1:29" ht="16.5" x14ac:dyDescent="0.25">
      <c r="A52" s="406"/>
      <c r="B52" s="407"/>
      <c r="C52" s="391">
        <f>SUM(C50:C51)</f>
        <v>34.619999999999997</v>
      </c>
      <c r="D52" s="77"/>
      <c r="E52" s="78"/>
      <c r="F52" s="65"/>
      <c r="G52" s="77"/>
      <c r="H52" s="77"/>
      <c r="I52" s="77"/>
      <c r="J52" s="77"/>
      <c r="K52" s="78"/>
      <c r="L52" s="78"/>
      <c r="M52" s="78"/>
      <c r="N52" s="78"/>
      <c r="O52" s="82"/>
      <c r="P52" s="70"/>
      <c r="Q52" s="70"/>
      <c r="R52" s="70"/>
      <c r="S52" s="83"/>
      <c r="T52" s="84"/>
      <c r="U52" s="391">
        <f t="shared" ref="U52:Z52" si="48">SUM(U50:U51)</f>
        <v>77.900000000000006</v>
      </c>
      <c r="V52" s="391">
        <f t="shared" si="48"/>
        <v>7.79</v>
      </c>
      <c r="W52" s="391">
        <f t="shared" si="48"/>
        <v>71.099999999999994</v>
      </c>
      <c r="X52" s="391">
        <f t="shared" si="48"/>
        <v>7.79</v>
      </c>
      <c r="Y52" s="391">
        <f t="shared" si="48"/>
        <v>14.59</v>
      </c>
      <c r="Z52" s="391">
        <f t="shared" si="48"/>
        <v>103.86</v>
      </c>
      <c r="AA52" s="58"/>
      <c r="AB52" s="243"/>
      <c r="AC52" s="404"/>
    </row>
    <row r="53" spans="1:29" ht="16.5" x14ac:dyDescent="0.25">
      <c r="A53" s="995" t="s">
        <v>460</v>
      </c>
      <c r="B53" s="76" t="s">
        <v>559</v>
      </c>
      <c r="C53" s="405">
        <v>98</v>
      </c>
      <c r="D53" s="77">
        <v>6.6000000000000003E-2</v>
      </c>
      <c r="E53" s="78">
        <v>0.6</v>
      </c>
      <c r="F53" s="79">
        <f>L53/K53/C53</f>
        <v>0.01</v>
      </c>
      <c r="G53" s="77">
        <v>0.23899999999999999</v>
      </c>
      <c r="H53" s="77">
        <v>2.2799999999999998</v>
      </c>
      <c r="I53" s="77">
        <v>0.48299999999999998</v>
      </c>
      <c r="J53" s="77">
        <v>3.04</v>
      </c>
      <c r="K53" s="80">
        <v>237.53200000000001</v>
      </c>
      <c r="L53" s="80">
        <v>240.82</v>
      </c>
      <c r="M53" s="81">
        <v>235.93199999999999</v>
      </c>
      <c r="N53" s="81">
        <v>236.03</v>
      </c>
      <c r="O53" s="82">
        <v>1.6</v>
      </c>
      <c r="P53" s="70">
        <v>4.05</v>
      </c>
      <c r="Q53" s="70">
        <f>(O53+P53)/2</f>
        <v>2.8250000000000002</v>
      </c>
      <c r="R53" s="70">
        <v>0.01</v>
      </c>
      <c r="S53" s="83">
        <v>1.5</v>
      </c>
      <c r="T53" s="84" t="s">
        <v>265</v>
      </c>
      <c r="U53" s="85">
        <f>IF(P53&lt;1.5,C53*S53*(P53+0.15),C53*S53*(1.5))</f>
        <v>220.5</v>
      </c>
      <c r="V53" s="85">
        <f>IF(Q53&lt;1.5,0,C53*S53*((Q53-1.5)+0.15))</f>
        <v>216.83</v>
      </c>
      <c r="W53" s="86">
        <f>IF(SUM(U53:V53)-C53*PI()*((E53+0.1)^2)/4-X53&lt;0,0,SUM(U53:V53)-C53*PI()*((E53+0.1)^2)/4-X53)</f>
        <v>377.57</v>
      </c>
      <c r="X53" s="86">
        <f>IF(E53&lt; 0.61,0.15*C53*S53,0.15*C53*S53)</f>
        <v>22.05</v>
      </c>
      <c r="Y53" s="85">
        <f>U53+V53-W53</f>
        <v>59.76</v>
      </c>
      <c r="Z53" s="86">
        <f>IF(Q53&lt;1.25,0,Q53*C53*2)</f>
        <v>553.70000000000005</v>
      </c>
      <c r="AA53" s="58" t="s">
        <v>526</v>
      </c>
      <c r="AB53" s="243" t="str">
        <f t="shared" si="47"/>
        <v>-</v>
      </c>
      <c r="AC53" s="63" t="s">
        <v>267</v>
      </c>
    </row>
    <row r="54" spans="1:29" ht="28.9" customHeight="1" x14ac:dyDescent="0.25">
      <c r="A54" s="997"/>
      <c r="B54" s="400" t="s">
        <v>560</v>
      </c>
      <c r="C54" s="401">
        <f>ROUND(4.43+4.95,2)</f>
        <v>9.3800000000000008</v>
      </c>
      <c r="D54" s="64"/>
      <c r="E54" s="65">
        <v>0.4</v>
      </c>
      <c r="F54" s="65" t="s">
        <v>526</v>
      </c>
      <c r="G54" s="64">
        <v>0.23899999999999999</v>
      </c>
      <c r="H54" s="64">
        <v>2.2799999999999998</v>
      </c>
      <c r="I54" s="64">
        <v>0.48299999999999998</v>
      </c>
      <c r="J54" s="64">
        <v>3.04</v>
      </c>
      <c r="K54" s="65" t="s">
        <v>526</v>
      </c>
      <c r="L54" s="65" t="s">
        <v>526</v>
      </c>
      <c r="M54" s="65" t="s">
        <v>526</v>
      </c>
      <c r="N54" s="65" t="s">
        <v>526</v>
      </c>
      <c r="O54" s="68">
        <v>1.6</v>
      </c>
      <c r="P54" s="69">
        <v>1.6</v>
      </c>
      <c r="Q54" s="69">
        <f t="shared" ref="Q54:Q55" si="49">(O54+P54)/2</f>
        <v>1.6</v>
      </c>
      <c r="R54" s="69">
        <v>0.01</v>
      </c>
      <c r="S54" s="71">
        <v>1.5</v>
      </c>
      <c r="T54" s="72" t="s">
        <v>265</v>
      </c>
      <c r="U54" s="59">
        <f t="shared" ref="U54:U55" si="50">IF(P54&lt;1.5,C54*S54*(P54+0.15),C54*S54*(1.5))</f>
        <v>21.11</v>
      </c>
      <c r="V54" s="59">
        <f t="shared" ref="V54:V55" si="51">IF(Q54&lt;1.5,0,C54*S54*((Q54-1.5)+0.15))</f>
        <v>3.52</v>
      </c>
      <c r="W54" s="58">
        <f t="shared" ref="W54:W55" si="52">IF(SUM(U54:V54)-C54*PI()*((E54+0.1)^2)/4-X54&lt;0,0,SUM(U54:V54)-C54*PI()*((E54+0.1)^2)/4-X54)</f>
        <v>20.68</v>
      </c>
      <c r="X54" s="58">
        <f t="shared" ref="X54:X55" si="53">IF(E54&lt; 0.61,0.15*C54*S54,0.15*C54*S54)</f>
        <v>2.11</v>
      </c>
      <c r="Y54" s="59">
        <f t="shared" ref="Y54:Y55" si="54">U54+V54-W54</f>
        <v>3.95</v>
      </c>
      <c r="Z54" s="58">
        <f t="shared" ref="Z54:Z55" si="55">IF(Q54&lt;1.25,0,Q54*C54*2)</f>
        <v>30.02</v>
      </c>
      <c r="AA54" s="58" t="s">
        <v>526</v>
      </c>
      <c r="AB54" s="58" t="str">
        <f t="shared" ref="AB54" si="56">IF(O54&lt;2,"-",IF(O54&lt;=3,"CPV 01",IF(O54&lt;=3.5,"CPV 02",IF(O54&lt;=4,"CPV 03",IF(O54&lt;=4.5,"CPV 04",IF(O54&lt;=5,"CPV 05",IF(O54&lt;=5.5,"CPV 06")))))))</f>
        <v>-</v>
      </c>
      <c r="AC54" s="404" t="s">
        <v>267</v>
      </c>
    </row>
    <row r="55" spans="1:29" ht="31.15" customHeight="1" x14ac:dyDescent="0.25">
      <c r="A55" s="996"/>
      <c r="B55" s="400" t="s">
        <v>561</v>
      </c>
      <c r="C55" s="401">
        <f>ROUND(5.82+6.72,2)</f>
        <v>12.54</v>
      </c>
      <c r="D55" s="64"/>
      <c r="E55" s="65">
        <v>0.4</v>
      </c>
      <c r="F55" s="65" t="s">
        <v>526</v>
      </c>
      <c r="G55" s="64">
        <v>0.23899999999999999</v>
      </c>
      <c r="H55" s="64">
        <v>2.2799999999999998</v>
      </c>
      <c r="I55" s="64">
        <v>0.48299999999999998</v>
      </c>
      <c r="J55" s="64">
        <v>3.04</v>
      </c>
      <c r="K55" s="65" t="s">
        <v>526</v>
      </c>
      <c r="L55" s="65" t="s">
        <v>526</v>
      </c>
      <c r="M55" s="65" t="s">
        <v>526</v>
      </c>
      <c r="N55" s="65" t="s">
        <v>526</v>
      </c>
      <c r="O55" s="68">
        <v>4.05</v>
      </c>
      <c r="P55" s="69">
        <v>4.05</v>
      </c>
      <c r="Q55" s="69">
        <f t="shared" si="49"/>
        <v>4.05</v>
      </c>
      <c r="R55" s="69">
        <v>0.01</v>
      </c>
      <c r="S55" s="71">
        <v>1.5</v>
      </c>
      <c r="T55" s="72" t="s">
        <v>265</v>
      </c>
      <c r="U55" s="59">
        <f t="shared" si="50"/>
        <v>28.22</v>
      </c>
      <c r="V55" s="59">
        <f t="shared" si="51"/>
        <v>50.79</v>
      </c>
      <c r="W55" s="58">
        <f t="shared" si="52"/>
        <v>73.73</v>
      </c>
      <c r="X55" s="58">
        <f t="shared" si="53"/>
        <v>2.82</v>
      </c>
      <c r="Y55" s="59">
        <f t="shared" si="54"/>
        <v>5.28</v>
      </c>
      <c r="Z55" s="58">
        <f t="shared" si="55"/>
        <v>101.57</v>
      </c>
      <c r="AA55" s="58" t="s">
        <v>526</v>
      </c>
      <c r="AB55" s="58" t="s">
        <v>526</v>
      </c>
      <c r="AC55" s="404" t="s">
        <v>267</v>
      </c>
    </row>
    <row r="56" spans="1:29" ht="16.5" x14ac:dyDescent="0.25">
      <c r="A56" s="387"/>
      <c r="B56" s="400"/>
      <c r="C56" s="391">
        <f>SUM(C53:C55)</f>
        <v>119.92</v>
      </c>
      <c r="D56" s="64"/>
      <c r="E56" s="65"/>
      <c r="F56" s="65"/>
      <c r="G56" s="64"/>
      <c r="H56" s="64"/>
      <c r="I56" s="64"/>
      <c r="J56" s="64"/>
      <c r="K56" s="66"/>
      <c r="L56" s="66"/>
      <c r="M56" s="67"/>
      <c r="N56" s="67"/>
      <c r="O56" s="68"/>
      <c r="P56" s="69"/>
      <c r="Q56" s="69"/>
      <c r="R56" s="69"/>
      <c r="S56" s="71"/>
      <c r="T56" s="72"/>
      <c r="U56" s="391">
        <f t="shared" ref="U56:Z56" si="57">SUM(U53:U55)</f>
        <v>269.83</v>
      </c>
      <c r="V56" s="391">
        <f t="shared" si="57"/>
        <v>271.14</v>
      </c>
      <c r="W56" s="391">
        <f t="shared" si="57"/>
        <v>471.98</v>
      </c>
      <c r="X56" s="391">
        <f t="shared" si="57"/>
        <v>26.98</v>
      </c>
      <c r="Y56" s="391">
        <f t="shared" si="57"/>
        <v>68.989999999999995</v>
      </c>
      <c r="Z56" s="391">
        <f t="shared" si="57"/>
        <v>685.29</v>
      </c>
      <c r="AA56" s="58"/>
      <c r="AB56" s="58"/>
      <c r="AC56" s="63"/>
    </row>
    <row r="57" spans="1:29" ht="32.450000000000003" customHeight="1" x14ac:dyDescent="0.25">
      <c r="A57" s="995" t="s">
        <v>466</v>
      </c>
      <c r="B57" s="403" t="s">
        <v>562</v>
      </c>
      <c r="C57" s="401">
        <f>5.02*2</f>
        <v>10.039999999999999</v>
      </c>
      <c r="D57" s="89"/>
      <c r="E57" s="65">
        <v>0.4</v>
      </c>
      <c r="F57" s="65" t="s">
        <v>526</v>
      </c>
      <c r="G57" s="89">
        <v>0.23899999999999999</v>
      </c>
      <c r="H57" s="89">
        <v>2.2799999999999998</v>
      </c>
      <c r="I57" s="89">
        <v>0.48299999999999998</v>
      </c>
      <c r="J57" s="89">
        <v>3.04</v>
      </c>
      <c r="K57" s="65" t="s">
        <v>526</v>
      </c>
      <c r="L57" s="65" t="s">
        <v>526</v>
      </c>
      <c r="M57" s="65" t="s">
        <v>526</v>
      </c>
      <c r="N57" s="65" t="s">
        <v>526</v>
      </c>
      <c r="O57" s="88">
        <v>2.2799999999999998</v>
      </c>
      <c r="P57" s="87">
        <v>2.2799999999999998</v>
      </c>
      <c r="Q57" s="87">
        <f t="shared" ref="Q57:Q58" si="58">(O57+P57)/2</f>
        <v>2.2799999999999998</v>
      </c>
      <c r="R57" s="87">
        <v>0.01</v>
      </c>
      <c r="S57" s="90">
        <v>1.5</v>
      </c>
      <c r="T57" s="74" t="s">
        <v>265</v>
      </c>
      <c r="U57" s="75">
        <f t="shared" ref="U57:U58" si="59">IF(P57&lt;1.5,C57*S57*(P57+0.15),C57*S57*(1.5))</f>
        <v>22.59</v>
      </c>
      <c r="V57" s="75">
        <f t="shared" ref="V57:V58" si="60">IF(Q57&lt;1.5,0,C57*S57*((Q57-1.5)+0.15))</f>
        <v>14.01</v>
      </c>
      <c r="W57" s="60">
        <f t="shared" ref="W57:W58" si="61">IF(SUM(U57:V57)-C57*PI()*((E57+0.1)^2)/4-X57&lt;0,0,SUM(U57:V57)-C57*PI()*((E57+0.1)^2)/4-X57)</f>
        <v>32.369999999999997</v>
      </c>
      <c r="X57" s="60">
        <f t="shared" ref="X57:X58" si="62">IF(E57&lt; 0.61,0.15*C57*S57,0.15*C57*S57)</f>
        <v>2.2599999999999998</v>
      </c>
      <c r="Y57" s="75">
        <f t="shared" ref="Y57:Y58" si="63">U57+V57-W57</f>
        <v>4.2300000000000004</v>
      </c>
      <c r="Z57" s="60">
        <f t="shared" ref="Z57:Z58" si="64">IF(Q57&lt;1.25,0,Q57*C57*2)</f>
        <v>45.78</v>
      </c>
      <c r="AA57" s="60" t="s">
        <v>526</v>
      </c>
      <c r="AB57" s="60" t="s">
        <v>526</v>
      </c>
      <c r="AC57" s="408" t="s">
        <v>267</v>
      </c>
    </row>
    <row r="58" spans="1:29" ht="36.6" customHeight="1" x14ac:dyDescent="0.25">
      <c r="A58" s="996"/>
      <c r="B58" s="403" t="s">
        <v>563</v>
      </c>
      <c r="C58" s="401">
        <f>5.02*2</f>
        <v>10.039999999999999</v>
      </c>
      <c r="D58" s="89"/>
      <c r="E58" s="65">
        <v>0.4</v>
      </c>
      <c r="F58" s="65" t="s">
        <v>526</v>
      </c>
      <c r="G58" s="89">
        <v>0.23899999999999999</v>
      </c>
      <c r="H58" s="89">
        <v>2.2799999999999998</v>
      </c>
      <c r="I58" s="89">
        <v>0.48299999999999998</v>
      </c>
      <c r="J58" s="89">
        <v>3.04</v>
      </c>
      <c r="K58" s="65" t="s">
        <v>526</v>
      </c>
      <c r="L58" s="65" t="s">
        <v>526</v>
      </c>
      <c r="M58" s="65" t="s">
        <v>526</v>
      </c>
      <c r="N58" s="65" t="s">
        <v>526</v>
      </c>
      <c r="O58" s="88">
        <v>2.13</v>
      </c>
      <c r="P58" s="87">
        <v>2.13</v>
      </c>
      <c r="Q58" s="87">
        <f t="shared" si="58"/>
        <v>2.13</v>
      </c>
      <c r="R58" s="87">
        <v>0.01</v>
      </c>
      <c r="S58" s="90">
        <v>1.5</v>
      </c>
      <c r="T58" s="74" t="s">
        <v>265</v>
      </c>
      <c r="U58" s="75">
        <f t="shared" si="59"/>
        <v>22.59</v>
      </c>
      <c r="V58" s="75">
        <f t="shared" si="60"/>
        <v>11.75</v>
      </c>
      <c r="W58" s="60">
        <f t="shared" si="61"/>
        <v>30.11</v>
      </c>
      <c r="X58" s="60">
        <f t="shared" si="62"/>
        <v>2.2599999999999998</v>
      </c>
      <c r="Y58" s="75">
        <f t="shared" si="63"/>
        <v>4.2300000000000004</v>
      </c>
      <c r="Z58" s="60">
        <f t="shared" si="64"/>
        <v>42.77</v>
      </c>
      <c r="AA58" s="60" t="s">
        <v>526</v>
      </c>
      <c r="AB58" s="60" t="s">
        <v>526</v>
      </c>
      <c r="AC58" s="408" t="s">
        <v>267</v>
      </c>
    </row>
    <row r="59" spans="1:29" ht="16.5" x14ac:dyDescent="0.25">
      <c r="A59" s="387"/>
      <c r="B59" s="400"/>
      <c r="C59" s="391">
        <f>SUM(C57:C58)</f>
        <v>20.079999999999998</v>
      </c>
      <c r="D59" s="64"/>
      <c r="E59" s="65"/>
      <c r="F59" s="65"/>
      <c r="G59" s="64"/>
      <c r="H59" s="64"/>
      <c r="I59" s="64"/>
      <c r="J59" s="64"/>
      <c r="K59" s="66"/>
      <c r="L59" s="66"/>
      <c r="M59" s="67"/>
      <c r="N59" s="67"/>
      <c r="O59" s="68"/>
      <c r="P59" s="69"/>
      <c r="Q59" s="69"/>
      <c r="R59" s="69"/>
      <c r="S59" s="71"/>
      <c r="T59" s="72"/>
      <c r="U59" s="391">
        <f t="shared" ref="U59:Z59" si="65">SUM(U57:U58)</f>
        <v>45.18</v>
      </c>
      <c r="V59" s="391">
        <f t="shared" si="65"/>
        <v>25.76</v>
      </c>
      <c r="W59" s="391">
        <f t="shared" si="65"/>
        <v>62.48</v>
      </c>
      <c r="X59" s="391">
        <f t="shared" si="65"/>
        <v>4.5199999999999996</v>
      </c>
      <c r="Y59" s="391">
        <f t="shared" si="65"/>
        <v>8.4600000000000009</v>
      </c>
      <c r="Z59" s="391">
        <f t="shared" si="65"/>
        <v>88.55</v>
      </c>
      <c r="AA59" s="58"/>
      <c r="AB59" s="58"/>
      <c r="AC59" s="63"/>
    </row>
    <row r="60" spans="1:29" ht="16.5" x14ac:dyDescent="0.25">
      <c r="A60" s="393"/>
      <c r="B60" s="393"/>
      <c r="C60" s="409">
        <f>C59+C56+C52+C49+C42+C20+C17+C14</f>
        <v>542.01</v>
      </c>
      <c r="D60" s="394"/>
      <c r="E60" s="395"/>
      <c r="F60" s="394"/>
      <c r="G60" s="394"/>
      <c r="H60" s="394"/>
      <c r="I60" s="394"/>
      <c r="J60" s="394"/>
      <c r="K60" s="394"/>
      <c r="L60" s="394"/>
      <c r="M60" s="394"/>
      <c r="N60" s="394"/>
      <c r="O60" s="394"/>
      <c r="P60" s="395"/>
      <c r="Q60" s="395"/>
      <c r="R60" s="395"/>
      <c r="S60" s="393"/>
      <c r="T60" s="396"/>
      <c r="U60" s="409">
        <f t="shared" ref="U60:Z60" si="66">U59+U56+U52+U49+U42+U20+U17+U14</f>
        <v>1219.53</v>
      </c>
      <c r="V60" s="409">
        <f t="shared" si="66"/>
        <v>622.20000000000005</v>
      </c>
      <c r="W60" s="409">
        <f t="shared" si="66"/>
        <v>1594.76</v>
      </c>
      <c r="X60" s="409">
        <f t="shared" si="66"/>
        <v>122.03</v>
      </c>
      <c r="Y60" s="409">
        <f t="shared" si="66"/>
        <v>246.97</v>
      </c>
      <c r="Z60" s="409">
        <f t="shared" si="66"/>
        <v>2292.9899999999998</v>
      </c>
      <c r="AA60" s="397"/>
      <c r="AB60" s="398"/>
      <c r="AC60" s="393"/>
    </row>
    <row r="62" spans="1:29" x14ac:dyDescent="0.25">
      <c r="T62" s="244"/>
    </row>
    <row r="63" spans="1:29" x14ac:dyDescent="0.25">
      <c r="Q63" s="244"/>
    </row>
  </sheetData>
  <mergeCells count="40">
    <mergeCell ref="E4:AC4"/>
    <mergeCell ref="E3:AC3"/>
    <mergeCell ref="N9:N11"/>
    <mergeCell ref="O9:O11"/>
    <mergeCell ref="P9:P11"/>
    <mergeCell ref="Q9:Q11"/>
    <mergeCell ref="R9:R11"/>
    <mergeCell ref="AB9:AB11"/>
    <mergeCell ref="AC9:AC11"/>
    <mergeCell ref="V9:V11"/>
    <mergeCell ref="W9:W11"/>
    <mergeCell ref="X9:X11"/>
    <mergeCell ref="Y9:Y11"/>
    <mergeCell ref="Z9:Z11"/>
    <mergeCell ref="T9:T11"/>
    <mergeCell ref="A7:AC7"/>
    <mergeCell ref="A12:A13"/>
    <mergeCell ref="A15:A16"/>
    <mergeCell ref="M9:M11"/>
    <mergeCell ref="L9:L11"/>
    <mergeCell ref="A18:A19"/>
    <mergeCell ref="A9:A11"/>
    <mergeCell ref="B9:B11"/>
    <mergeCell ref="C9:C11"/>
    <mergeCell ref="D9:D11"/>
    <mergeCell ref="E9:E11"/>
    <mergeCell ref="F9:F11"/>
    <mergeCell ref="G9:G11"/>
    <mergeCell ref="H9:H11"/>
    <mergeCell ref="I9:I11"/>
    <mergeCell ref="U9:U11"/>
    <mergeCell ref="J9:J11"/>
    <mergeCell ref="K9:K11"/>
    <mergeCell ref="AA9:AA11"/>
    <mergeCell ref="S9:S11"/>
    <mergeCell ref="A57:A58"/>
    <mergeCell ref="A21:A41"/>
    <mergeCell ref="A43:A48"/>
    <mergeCell ref="A53:A55"/>
    <mergeCell ref="A50:A51"/>
  </mergeCells>
  <pageMargins left="0.51181102362204722" right="0.51181102362204722" top="0.78740157480314965" bottom="0.78740157480314965" header="0.31496062992125984" footer="0.31496062992125984"/>
  <pageSetup paperSize="9" scale="52" orientation="landscape" horizontalDpi="360" verticalDpi="360" r:id="rId1"/>
  <ignoredErrors>
    <ignoredError sqref="U59:U60 V59:Z60 U56:Z56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11</vt:i4>
      </vt:variant>
      <vt:variant>
        <vt:lpstr>Intervalos Nomeados</vt:lpstr>
      </vt:variant>
      <vt:variant>
        <vt:i4>12</vt:i4>
      </vt:variant>
    </vt:vector>
  </HeadingPairs>
  <TitlesOfParts>
    <vt:vector size="23" baseType="lpstr">
      <vt:lpstr>ORÇAMENTO GLOBAL</vt:lpstr>
      <vt:lpstr>ORÇAMENTO POR RUA (2)</vt:lpstr>
      <vt:lpstr>ORÇAMENTO POR RUA</vt:lpstr>
      <vt:lpstr>CRONOGRAMA FÍSICO-FINANCEIRO</vt:lpstr>
      <vt:lpstr>CURVA ABC</vt:lpstr>
      <vt:lpstr>MC</vt:lpstr>
      <vt:lpstr>COMPOSIÇÕES</vt:lpstr>
      <vt:lpstr>MAPA DE CUBAÇÃO</vt:lpstr>
      <vt:lpstr>DRENAGEM</vt:lpstr>
      <vt:lpstr>BDI SERVIÇO</vt:lpstr>
      <vt:lpstr>BDI MATERIAL</vt:lpstr>
      <vt:lpstr>'BDI SERVIÇO'!Area_de_impressao</vt:lpstr>
      <vt:lpstr>COMPOSIÇÕES!Area_de_impressao</vt:lpstr>
      <vt:lpstr>DRENAGEM!Area_de_impressao</vt:lpstr>
      <vt:lpstr>'MAPA DE CUBAÇÃO'!Area_de_impressao</vt:lpstr>
      <vt:lpstr>'ORÇAMENTO GLOBAL'!Area_de_impressao</vt:lpstr>
      <vt:lpstr>'ORÇAMENTO POR RUA'!Area_de_impressao</vt:lpstr>
      <vt:lpstr>'ORÇAMENTO POR RUA (2)'!Area_de_impressao</vt:lpstr>
      <vt:lpstr>'MAPA DE CUBAÇÃO'!Titulos_de_impressao</vt:lpstr>
      <vt:lpstr>MC!Titulos_de_impressao</vt:lpstr>
      <vt:lpstr>'ORÇAMENTO GLOBAL'!Titulos_de_impressao</vt:lpstr>
      <vt:lpstr>'ORÇAMENTO POR RUA'!Titulos_de_impressao</vt:lpstr>
      <vt:lpstr>'ORÇAMENTO POR RUA (2)'!Titulos_de_impressao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MARCOS FRED</dc:creator>
  <cp:lastModifiedBy>João Felipe .</cp:lastModifiedBy>
  <cp:lastPrinted>2021-11-25T19:27:28Z</cp:lastPrinted>
  <dcterms:created xsi:type="dcterms:W3CDTF">2021-04-03T14:42:03Z</dcterms:created>
  <dcterms:modified xsi:type="dcterms:W3CDTF">2021-11-25T20:43:09Z</dcterms:modified>
</cp:coreProperties>
</file>